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895" activeTab="0"/>
  </bookViews>
  <sheets>
    <sheet name="Summary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</author>
    <author>cafe thorium</author>
    <author>A satisfied Microsoft Office User</author>
  </authors>
  <commentList>
    <comment ref="J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Difference in C/Th bottle vs traps is less if you look at 150m- 15 vs 3.9; 11.8 vs. 5.9; 8.9 vs. 7.4</t>
        </r>
      </text>
    </comment>
    <comment ref="K1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likely low, if 150m trap C/Th is used in avg</t>
        </r>
      </text>
    </comment>
    <comment ref="E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water z = 180m
</t>
        </r>
      </text>
    </comment>
    <comment ref="E1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water z = 197m
</t>
        </r>
      </text>
    </comment>
    <comment ref="E16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water z = 149m</t>
        </r>
      </text>
    </comment>
    <comment ref="E1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water z = 249m</t>
        </r>
      </text>
    </comment>
    <comment ref="E1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water z = 336m</t>
        </r>
      </text>
    </comment>
    <comment ref="G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fluxes in orig. ms
</t>
        </r>
      </text>
    </comment>
    <comment ref="H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horizontal transport condsidered small by authors</t>
        </r>
      </text>
    </comment>
    <comment ref="F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Th profiles w/in-situ pump followed by gamma counting of LV samples</t>
        </r>
      </text>
    </comment>
    <comment ref="F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10L samples followed by Fe ppt, radiopurification and beta counting on shore</t>
        </r>
      </text>
    </comment>
    <comment ref="B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spring bloom in MIZ expected April/May and May/June</t>
        </r>
      </text>
    </comment>
    <comment ref="C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Arctic waters?
</t>
        </r>
      </text>
    </comment>
    <comment ref="C1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Arctic waters?</t>
        </r>
      </text>
    </comment>
    <comment ref="C16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Arctic waters? S. limit of ice edge</t>
        </r>
      </text>
    </comment>
    <comment ref="C1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Atlantic waters?</t>
        </r>
      </text>
    </comment>
    <comment ref="C1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Atlantic waters?</t>
        </r>
      </text>
    </comment>
    <comment ref="J2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depth of deepest trap</t>
        </r>
      </text>
    </comment>
    <comment ref="F20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depth of deepest trap</t>
        </r>
      </text>
    </comment>
    <comment ref="F2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depth of deepest trap</t>
        </r>
      </text>
    </comment>
    <comment ref="F22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depth of deepest trap</t>
        </r>
      </text>
    </comment>
    <comment ref="F2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depth of deepest trap</t>
        </r>
      </text>
    </comment>
    <comment ref="E30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z=4200 m</t>
        </r>
      </text>
    </comment>
    <comment ref="E31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z=4200 m</t>
        </r>
      </text>
    </comment>
    <comment ref="E33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z=4200 m</t>
        </r>
      </text>
    </comment>
    <comment ref="E32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z=1300 m</t>
        </r>
      </text>
    </comment>
    <comment ref="E34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z=4200 m</t>
        </r>
      </text>
    </comment>
    <comment ref="E35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z=4200 m</t>
        </r>
      </text>
    </comment>
    <comment ref="E36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z=1300 m</t>
        </r>
      </text>
    </comment>
    <comment ref="E3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water z=4200 m</t>
        </r>
      </text>
    </comment>
    <comment ref="E39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water z = 4101m
</t>
        </r>
      </text>
    </comment>
    <comment ref="F39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LV pumping 3 depths surf to 100m</t>
        </r>
      </text>
    </comment>
    <comment ref="I40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from paper @100m not used in orig calc.</t>
        </r>
      </text>
    </comment>
    <comment ref="E5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water z &gt;4000m</t>
        </r>
      </text>
    </comment>
    <comment ref="F5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vertically integrated approach- 10 x 2L from 15 depths.  Data with MLZ &lt; 150m only and where ingrowth and recovery correctins were small</t>
        </r>
      </text>
    </comment>
    <comment ref="H5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NSS model with montly data not signficant difference</t>
        </r>
      </text>
    </comment>
    <comment ref="C5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BATS crusie #</t>
        </r>
      </text>
    </comment>
    <comment ref="J5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NBST suggests this # may be 2.5x too low? Buesseler et al. 2000</t>
        </r>
      </text>
    </comment>
    <comment ref="G7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include "negative" fluxes as this is just part of the error</t>
        </r>
      </text>
    </comment>
    <comment ref="O7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would be 13% if you only looked at numbers above, but lower due to inclusion of zero/negative flux events</t>
        </r>
      </text>
    </comment>
    <comment ref="F8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vertically integrated pump; gamma all</t>
        </r>
      </text>
    </comment>
    <comment ref="H8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paper also had full 3-D model, but only could be used with smoothed/gridded data</t>
        </r>
      </text>
    </comment>
    <comment ref="J81" authorId="0">
      <text>
        <r>
          <rPr>
            <b/>
            <sz val="12"/>
            <rFont val="Tahoma"/>
            <family val="2"/>
          </rPr>
          <t>Ken:</t>
        </r>
        <r>
          <rPr>
            <sz val="12"/>
            <rFont val="Tahoma"/>
            <family val="2"/>
          </rPr>
          <t xml:space="preserve">
paper noted GFF*0.48 = &gt;53um nitex, and due to smaller errors on GFF used these #'s in calc.  Note also that 100m vs 0-100m C/Th noted as being 50% lower in addition</t>
        </r>
      </text>
    </comment>
    <comment ref="B8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spring = El Nino
</t>
        </r>
      </text>
    </comment>
    <comment ref="C156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coastal station
</t>
        </r>
      </text>
    </comment>
    <comment ref="C16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coastal station
</t>
        </r>
      </text>
    </comment>
    <comment ref="C170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coastal station
</t>
        </r>
      </text>
    </comment>
    <comment ref="C176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coastal station
</t>
        </r>
      </text>
    </comment>
    <comment ref="F15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vertically integrated pump;  gamma cartridges &amp; beta filters</t>
        </r>
      </text>
    </comment>
    <comment ref="C42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station in Brazil Current</t>
        </r>
      </text>
    </comment>
    <comment ref="C46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Amazon plume 
</t>
        </r>
      </text>
    </comment>
    <comment ref="M196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model PProd only</t>
        </r>
      </text>
    </comment>
    <comment ref="M19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model PProd only</t>
        </r>
      </text>
    </comment>
    <comment ref="M198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model PProd only</t>
        </r>
      </text>
    </comment>
    <comment ref="M199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model PProd only</t>
        </r>
      </text>
    </comment>
    <comment ref="M200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model PProd only</t>
        </r>
      </text>
    </comment>
    <comment ref="H182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tried NSS &amp; w/upwelling but not significant difference here</t>
        </r>
      </text>
    </comment>
    <comment ref="D2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lat bins per Buesseler et al., 2002</t>
        </r>
      </text>
    </comment>
    <comment ref="F182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5 pumps in upper 125m, gamma count Mn &amp; beta count filters</t>
        </r>
      </text>
    </comment>
    <comment ref="L2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used Satellites &amp; PProd model to extrapolate
</t>
        </r>
      </text>
    </comment>
    <comment ref="N21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used Satellites &amp; PProd model to extrapolate</t>
        </r>
      </text>
    </comment>
    <comment ref="E42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need depths for all stations</t>
        </r>
      </text>
    </comment>
    <comment ref="F229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5 LV pumps in upper 200m (3-4 in upper 100); Mn cart &amp; gamma, 142mm QMA &amp; 70um screen by beta</t>
        </r>
      </text>
    </comment>
    <comment ref="H229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horizontal &amp; upwelling terms deemed small; errors +/-300-500</t>
        </r>
      </text>
    </comment>
    <comment ref="C23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closest sta to N-RS on AESOPS cruises following year
</t>
        </r>
      </text>
    </comment>
    <comment ref="C24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closest sta to N-RS on AESOPS cruises following year
</t>
        </r>
      </text>
    </comment>
    <comment ref="C24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closest sta to N-RS on AESOPS cruises following year
</t>
        </r>
      </text>
    </comment>
    <comment ref="J229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C/Th on &gt;70um higher than C/Th on QMA</t>
        </r>
      </text>
    </comment>
    <comment ref="H246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take dTh/dt from Th2-Th1 for each time point</t>
        </r>
      </text>
    </comment>
    <comment ref="B25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negative flux = 0; Oct. 18 - Apr 23
</t>
        </r>
      </text>
    </comment>
    <comment ref="H25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187 days
</t>
        </r>
      </text>
    </comment>
    <comment ref="H25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186 days
</t>
        </r>
      </text>
    </comment>
    <comment ref="B25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Oct. 23 - Apr 27</t>
        </r>
      </text>
    </comment>
    <comment ref="B26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Jan 24 - Apr. 30; shorter growth season due to ice</t>
        </r>
      </text>
    </comment>
    <comment ref="J25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186 days
</t>
        </r>
      </text>
    </comment>
    <comment ref="L25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186 days
</t>
        </r>
      </text>
    </comment>
    <comment ref="J25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187 days
</t>
        </r>
      </text>
    </comment>
    <comment ref="L25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187 days
</t>
        </r>
      </text>
    </comment>
    <comment ref="N25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187 days
</t>
        </r>
      </text>
    </comment>
    <comment ref="N25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186 days
</t>
        </r>
      </text>
    </comment>
    <comment ref="P25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187 days
</t>
        </r>
      </text>
    </comment>
    <comment ref="P257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186 days
</t>
        </r>
      </text>
    </comment>
    <comment ref="H26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96 days
</t>
        </r>
      </text>
    </comment>
    <comment ref="J26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96 days
</t>
        </r>
      </text>
    </comment>
    <comment ref="L26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96 days
</t>
        </r>
      </text>
    </comment>
    <comment ref="N26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96 days
</t>
        </r>
      </text>
    </comment>
    <comment ref="P261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96 days
</t>
        </r>
      </text>
    </comment>
    <comment ref="J26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use zero for rates outside of sampling dates</t>
        </r>
      </text>
    </comment>
    <comment ref="H26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use zero for rates outside of sampling</t>
        </r>
      </text>
    </comment>
    <comment ref="L26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use zero for rates outside of sampling dates</t>
        </r>
      </text>
    </comment>
    <comment ref="N26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use zero for rates outside of sampling dates</t>
        </r>
      </text>
    </comment>
    <comment ref="P26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use zero for rates outside of sampling dates</t>
        </r>
      </text>
    </comment>
    <comment ref="L26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apply flux to 186 days &amp; assume remainder of year = zero</t>
        </r>
      </text>
    </comment>
    <comment ref="N26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apply flux to 186 days &amp; assume remainder of year = zero</t>
        </r>
      </text>
    </comment>
    <comment ref="K26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Sweeney et al. 2000 have export@200m from mass balance = 3.8 +/- 0.8</t>
        </r>
      </text>
    </comment>
    <comment ref="M26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low perhaps due to lack of data from peak PProd period of Nov/Dec, per W. Smith</t>
        </r>
      </text>
    </comment>
    <comment ref="O263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may be high, assuming 96/97 PProd is low due to missing peak Chl, but this would not impact 234Th loss due to lag and longer time scales for 234Th</t>
        </r>
      </text>
    </comment>
    <comment ref="N26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apply flux to 186 days &amp; assume remainder of year = zero</t>
        </r>
      </text>
    </comment>
    <comment ref="M265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calc. By KOB from Smith et al. 2000 and the assumption that the peak bloom missed in 96/97 was same as bloom sampled in 97/98</t>
        </r>
      </text>
    </comment>
    <comment ref="P264" authorId="0">
      <text>
        <r>
          <rPr>
            <b/>
            <sz val="8"/>
            <rFont val="Tahoma"/>
            <family val="0"/>
          </rPr>
          <t>Ken:</t>
        </r>
        <r>
          <rPr>
            <sz val="8"/>
            <rFont val="Tahoma"/>
            <family val="0"/>
          </rPr>
          <t xml:space="preserve">
something near 40-50% likely closer to basin avg.</t>
        </r>
      </text>
    </comment>
    <comment ref="F223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LV pumped by hose from depth
</t>
        </r>
      </text>
    </comment>
    <comment ref="E223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Wilkinson Basin 
z=280m</t>
        </r>
      </text>
    </comment>
    <comment ref="M224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Wilkinson PProd from Charette 2000</t>
        </r>
      </text>
    </comment>
    <comment ref="M223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Gulf wide annual average 
O'Reilly 1984</t>
        </r>
      </text>
    </comment>
    <comment ref="K26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 POC flux
</t>
        </r>
      </text>
    </comment>
    <comment ref="L26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POC flux from paper
molCm^2d^-1</t>
        </r>
      </text>
    </comment>
    <comment ref="G27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 avg
</t>
        </r>
      </text>
    </comment>
    <comment ref="I27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
</t>
        </r>
      </text>
    </comment>
    <comment ref="L279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POC flux from paper</t>
        </r>
      </text>
    </comment>
    <comment ref="G288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 avg
</t>
        </r>
      </text>
    </comment>
    <comment ref="K276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
</t>
        </r>
      </text>
    </comment>
    <comment ref="M26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 from mg C given in figure</t>
        </r>
      </text>
    </comment>
    <comment ref="M276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
</t>
        </r>
      </text>
    </comment>
    <comment ref="E26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z=&gt;4000m</t>
        </r>
      </text>
    </comment>
    <comment ref="E290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z=400-3500m</t>
        </r>
      </text>
    </comment>
    <comment ref="F290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4l from bottle cast.  FeOH precip followed by column extraction and gammma counting</t>
        </r>
      </text>
    </comment>
    <comment ref="I293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calculated from Th and POC flux
</t>
        </r>
      </text>
    </comment>
    <comment ref="C311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Data from station 6-A in appendix</t>
        </r>
      </text>
    </comment>
    <comment ref="I323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73m C/Th ratio on particulate</t>
        </r>
      </text>
    </comment>
    <comment ref="G325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average nss values from May 11-15</t>
        </r>
      </text>
    </comment>
    <comment ref="G326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Flux from May 23-29</t>
        </r>
      </text>
    </comment>
    <comment ref="I326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ratio from May 27-29</t>
        </r>
      </text>
    </comment>
    <comment ref="I325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average ratio used from May11-16</t>
        </r>
      </text>
    </comment>
    <comment ref="G341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MnO2 cartridges, gamma counted</t>
        </r>
      </text>
    </comment>
    <comment ref="G377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used 50 meter Th flux
</t>
        </r>
      </text>
    </comment>
    <comment ref="G379" authorId="1">
      <text>
        <r>
          <rPr>
            <b/>
            <sz val="8"/>
            <rFont val="Tahoma"/>
            <family val="0"/>
          </rPr>
          <t>cafe thorium:</t>
        </r>
        <r>
          <rPr>
            <sz val="8"/>
            <rFont val="Tahoma"/>
            <family val="0"/>
          </rPr>
          <t xml:space="preserve">
MnO2 cartridges, gamma counted</t>
        </r>
      </text>
    </comment>
    <comment ref="G389" authorId="2">
      <text>
        <r>
          <rPr>
            <b/>
            <sz val="8"/>
            <rFont val="Tahoma"/>
            <family val="0"/>
          </rPr>
          <t>CafeThoriumr:</t>
        </r>
        <r>
          <rPr>
            <sz val="8"/>
            <rFont val="Tahoma"/>
            <family val="0"/>
          </rPr>
          <t xml:space="preserve">
Th data from chemistry on 20l baottles</t>
        </r>
      </text>
    </comment>
    <comment ref="C392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B392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2"/>
          </rPr>
          <t>dates are from midpoint of transect</t>
        </r>
        <r>
          <rPr>
            <sz val="8"/>
            <rFont val="Tahoma"/>
            <family val="0"/>
          </rPr>
          <t xml:space="preserve">
</t>
        </r>
      </text>
    </comment>
    <comment ref="C393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395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396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394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397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398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399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400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401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402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C403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ID's are from transects 2,5 and 11</t>
        </r>
      </text>
    </comment>
    <comment ref="L392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Tsble 3 van derr Loeff et al.</t>
        </r>
      </text>
    </comment>
    <comment ref="N392" authorId="2">
      <text>
        <r>
          <rPr>
            <b/>
            <sz val="8"/>
            <rFont val="Tahoma"/>
            <family val="0"/>
          </rPr>
          <t>A satisfied Microsoft Office User:Pprod from Jochem et al. 1995</t>
        </r>
        <r>
          <rPr>
            <sz val="8"/>
            <rFont val="Tahoma"/>
            <family val="0"/>
          </rPr>
          <t xml:space="preserve">
</t>
        </r>
      </text>
    </comment>
    <comment ref="M392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used average of primary production value from transect stations</t>
        </r>
      </text>
    </comment>
    <comment ref="K392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carbon flux use mean of carbon removal normalized to transect collection period</t>
        </r>
      </text>
    </comment>
    <comment ref="K418" authorId="2">
      <text>
        <r>
          <rPr>
            <b/>
            <sz val="8"/>
            <rFont val="Tahoma"/>
            <family val="2"/>
          </rPr>
          <t>Spike:</t>
        </r>
        <r>
          <rPr>
            <sz val="8"/>
            <rFont val="Tahoma"/>
            <family val="0"/>
          </rPr>
          <t xml:space="preserve">
calculated from base of mixed layer at 100m</t>
        </r>
      </text>
    </comment>
    <comment ref="I418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&gt;53 um particles from 100m collected by insitu pumps</t>
        </r>
      </text>
    </comment>
    <comment ref="L418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Calculated using 10-53 um C/Th ratio at 100m</t>
        </r>
      </text>
    </comment>
    <comment ref="L419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Calculated using 10-53 um C/Th ratio at 100m</t>
        </r>
      </text>
    </comment>
    <comment ref="L420" authorId="2">
      <text>
        <r>
          <rPr>
            <b/>
            <sz val="8"/>
            <rFont val="Tahoma"/>
            <family val="0"/>
          </rPr>
          <t>A satisfied Microsoft Office User:</t>
        </r>
        <r>
          <rPr>
            <sz val="8"/>
            <rFont val="Tahoma"/>
            <family val="0"/>
          </rPr>
          <t xml:space="preserve">
Calculated using 10-53 um C/Th ratio at 100m</t>
        </r>
      </text>
    </comment>
  </commentList>
</comments>
</file>

<file path=xl/sharedStrings.xml><?xml version="1.0" encoding="utf-8"?>
<sst xmlns="http://schemas.openxmlformats.org/spreadsheetml/2006/main" count="917" uniqueCount="437">
  <si>
    <t>ocean export sum.xls</t>
  </si>
  <si>
    <t>updated</t>
  </si>
  <si>
    <t>ID/site</t>
  </si>
  <si>
    <t>date</t>
  </si>
  <si>
    <t>sta ID</t>
  </si>
  <si>
    <t>lat</t>
  </si>
  <si>
    <t>long</t>
  </si>
  <si>
    <t>depth</t>
  </si>
  <si>
    <t>234Th flux</t>
  </si>
  <si>
    <t>comment Th</t>
  </si>
  <si>
    <t>POC/Th</t>
  </si>
  <si>
    <t>comment C/Th</t>
  </si>
  <si>
    <t>POC flux</t>
  </si>
  <si>
    <t>comment POC flux</t>
  </si>
  <si>
    <t>Primary Prod</t>
  </si>
  <si>
    <t>comment PProd</t>
  </si>
  <si>
    <t>ThE ratio</t>
  </si>
  <si>
    <t>comment The</t>
  </si>
  <si>
    <t>reference/comments</t>
  </si>
  <si>
    <t>N</t>
  </si>
  <si>
    <t>m</t>
  </si>
  <si>
    <t>dpm m^-2 d^-1</t>
  </si>
  <si>
    <t>umol/dpm</t>
  </si>
  <si>
    <t>mmol C m^-2 d^-1</t>
  </si>
  <si>
    <t>%</t>
  </si>
  <si>
    <t>North Atlantic Bloom</t>
  </si>
  <si>
    <t>April 25-May 5, 1989</t>
  </si>
  <si>
    <t>20W</t>
  </si>
  <si>
    <t>NSS Th model</t>
  </si>
  <si>
    <t>Pump Th on 0.5um cartridge vs. or bottle POC on GFF at 75m or on pump vs. traps at 150m; traps lower; 4 to 20</t>
  </si>
  <si>
    <t>7 to 35 w/C/Th range</t>
  </si>
  <si>
    <t>diatom bloom</t>
  </si>
  <si>
    <t>3 to 38% range</t>
  </si>
  <si>
    <t>Buesseler et al. 1992</t>
  </si>
  <si>
    <t>May 5-19</t>
  </si>
  <si>
    <t>6 to 23</t>
  </si>
  <si>
    <t>20 to 77</t>
  </si>
  <si>
    <t>most change between cruises</t>
  </si>
  <si>
    <t>20-79%</t>
  </si>
  <si>
    <t>May 19 - 30</t>
  </si>
  <si>
    <t>7 to 14</t>
  </si>
  <si>
    <t>26 to 52</t>
  </si>
  <si>
    <t>lower Si, end of diatom bloom</t>
  </si>
  <si>
    <t>30-60%</t>
  </si>
  <si>
    <t>4 to 15</t>
  </si>
  <si>
    <t>18-68</t>
  </si>
  <si>
    <t>20-75%</t>
  </si>
  <si>
    <t>6 to 12</t>
  </si>
  <si>
    <t>18-37</t>
  </si>
  <si>
    <t>18-38%</t>
  </si>
  <si>
    <t>7 to 9</t>
  </si>
  <si>
    <t>37-45</t>
  </si>
  <si>
    <t>43-52%</t>
  </si>
  <si>
    <t>5 week avg</t>
  </si>
  <si>
    <t>avg of NSS model</t>
  </si>
  <si>
    <t>remainder of year would be lower?</t>
  </si>
  <si>
    <t>Barents Sea</t>
  </si>
  <si>
    <t>June 28 - July 12, 1999</t>
  </si>
  <si>
    <t>34.15E</t>
  </si>
  <si>
    <t>SS 1-D model</t>
  </si>
  <si>
    <t>Th on 0.6um nucleopore; POC on GFF from bottle or in trap</t>
  </si>
  <si>
    <t>Possible exists? Contact author?</t>
  </si>
  <si>
    <t>Coppola et al., submitted Mar. Chem. Oct. 2001</t>
  </si>
  <si>
    <t>34.39E</t>
  </si>
  <si>
    <t>bottle C/Th</t>
  </si>
  <si>
    <t>33.78E</t>
  </si>
  <si>
    <t>Phaeocystis pouchetii bloom- colonies at this sta</t>
  </si>
  <si>
    <t>note per authors shallow trap &amp; 234Th fluxes agree, 85%; except sta 3 due to bloom/NSS concerns</t>
  </si>
  <si>
    <t>32.35E</t>
  </si>
  <si>
    <t>31.71E</t>
  </si>
  <si>
    <t>trap C/Th 10x lower than filter</t>
  </si>
  <si>
    <t>assume trap C/Th#'s best</t>
  </si>
  <si>
    <t>authors conclude that bottle C/Th data too high &amp; trap C/Th better value for POC flux- prior Arctic fluxes too high?</t>
  </si>
  <si>
    <t xml:space="preserve">trap C/Th  </t>
  </si>
  <si>
    <t>northeast Pacific Ocean</t>
  </si>
  <si>
    <t>Feb 29/96</t>
  </si>
  <si>
    <t>OSP</t>
  </si>
  <si>
    <t>145.0W</t>
  </si>
  <si>
    <t>SS 2-D model</t>
  </si>
  <si>
    <t>Th on 1um cartridge; pump POC from stacked 53um nitex and 2 QMA</t>
  </si>
  <si>
    <t>assume pump C/Th#'s best</t>
  </si>
  <si>
    <t>HNLC region</t>
  </si>
  <si>
    <t>Charette et al.,  1999 DSR</t>
  </si>
  <si>
    <t>May 8-25/96</t>
  </si>
  <si>
    <t>more station Th data available</t>
  </si>
  <si>
    <t>pump C/Th</t>
  </si>
  <si>
    <t>Calculated Flux values not in original MS</t>
  </si>
  <si>
    <t>no Pprod from OSP</t>
  </si>
  <si>
    <t>P04</t>
  </si>
  <si>
    <t>126.5W</t>
  </si>
  <si>
    <t>Aug 15-30/96</t>
  </si>
  <si>
    <t xml:space="preserve">GFF POC trap C/Th  </t>
  </si>
  <si>
    <t>check on Boyd Poduction data for ThE ratio</t>
  </si>
  <si>
    <t>Bellingshausen Sea, Antarctica</t>
  </si>
  <si>
    <t>Dec. 7, 1992</t>
  </si>
  <si>
    <t>K</t>
  </si>
  <si>
    <t>84.93 W</t>
  </si>
  <si>
    <t xml:space="preserve">SS 1-D </t>
  </si>
  <si>
    <t>LV pump GFF for both- as depth weighted avg 0-100m</t>
  </si>
  <si>
    <t>early season; deep MLZ, low Pb^max &amp; large diatoms</t>
  </si>
  <si>
    <t>Chl max of 3.5 g/m3 not at MIZ, associated with upwelling?</t>
  </si>
  <si>
    <t>Shimmield et al., 1995</t>
  </si>
  <si>
    <t>LV pump GFF @ 100m</t>
  </si>
  <si>
    <t>lower than orig. ms if 100m C/Th is used</t>
  </si>
  <si>
    <t>early season export is relatively high</t>
  </si>
  <si>
    <t>subtropical Atlantic</t>
  </si>
  <si>
    <t>May-June 96</t>
  </si>
  <si>
    <t>40.0 W</t>
  </si>
  <si>
    <t>SS 1-D</t>
  </si>
  <si>
    <t>LV collected by rosette.  Th on 1 um cart.  POC from Nitex rinsed onto QMA.  Integrated from discrete depths</t>
  </si>
  <si>
    <t>Nitex C/Th and POC flux from Charette not in orig. ms</t>
  </si>
  <si>
    <t>no PProd data available</t>
  </si>
  <si>
    <t>tropical Atlantic</t>
  </si>
  <si>
    <t>25.0 W</t>
  </si>
  <si>
    <t xml:space="preserve">higher C/Th ratio on &gt;53 um, lower on C/Th  0.7-53 </t>
  </si>
  <si>
    <t>equitorial Atlantic</t>
  </si>
  <si>
    <t>RFZ</t>
  </si>
  <si>
    <t>20.0 W</t>
  </si>
  <si>
    <t>45.0 W</t>
  </si>
  <si>
    <t>Chl.-a   0.24 ug/l</t>
  </si>
  <si>
    <t>AMZ</t>
  </si>
  <si>
    <t>48.0 W</t>
  </si>
  <si>
    <t>LV collected by rosette.  POC from Nitex rinsed onto QMA.  Samples integrated over 100m</t>
  </si>
  <si>
    <t>Chl.-a   0.25 ug/l</t>
  </si>
  <si>
    <t>31.0 W</t>
  </si>
  <si>
    <t>Samples integrated over 100m</t>
  </si>
  <si>
    <t>22.0 W</t>
  </si>
  <si>
    <t>21.0 W</t>
  </si>
  <si>
    <t>23.0 W</t>
  </si>
  <si>
    <t>BATS</t>
  </si>
  <si>
    <t>*54</t>
  </si>
  <si>
    <t>64.15W</t>
  </si>
  <si>
    <t>SS-1D</t>
  </si>
  <si>
    <t>C/Th from trap @150m during each cruise</t>
  </si>
  <si>
    <t>can be avg. of n=2-3 234Th fluxes/profiles</t>
  </si>
  <si>
    <t>PProd from BATS</t>
  </si>
  <si>
    <t>specific #'s in Sweeney et al., 2002?- note impact of eddies thought to be important</t>
  </si>
  <si>
    <t>*55</t>
  </si>
  <si>
    <t>C/Th from trap @150m</t>
  </si>
  <si>
    <t>Plot in Buesseler et al., 2000 (NBST paper)</t>
  </si>
  <si>
    <t>*56</t>
  </si>
  <si>
    <t>*57</t>
  </si>
  <si>
    <t>some high ThE ratios during very low PProd events</t>
  </si>
  <si>
    <t>*58</t>
  </si>
  <si>
    <t>*59</t>
  </si>
  <si>
    <t>*61</t>
  </si>
  <si>
    <t>*67</t>
  </si>
  <si>
    <t>*68</t>
  </si>
  <si>
    <t>*69</t>
  </si>
  <si>
    <t/>
  </si>
  <si>
    <t>negative Th flux</t>
  </si>
  <si>
    <t>*70</t>
  </si>
  <si>
    <t>*71</t>
  </si>
  <si>
    <t>*73</t>
  </si>
  <si>
    <t>*74</t>
  </si>
  <si>
    <t>*79</t>
  </si>
  <si>
    <t>*80</t>
  </si>
  <si>
    <t>*81</t>
  </si>
  <si>
    <t>*82</t>
  </si>
  <si>
    <t>*83</t>
  </si>
  <si>
    <t>*84</t>
  </si>
  <si>
    <t>average</t>
  </si>
  <si>
    <t>BATS tend to be &lt;5% or &gt;15%</t>
  </si>
  <si>
    <t>long W</t>
  </si>
  <si>
    <t>EQPAC</t>
  </si>
  <si>
    <t>SS-1D w/upwelling</t>
  </si>
  <si>
    <t>C/Th from 0-100m GFFX0.5</t>
  </si>
  <si>
    <t>Chl stocks =12.2 mg/m^2</t>
  </si>
  <si>
    <t>only sta's with PProd used here</t>
  </si>
  <si>
    <t>Buesseler et al., 1995; note that several different models and C/Th calc were used</t>
  </si>
  <si>
    <t>Spring = El Nino; Fall = non El Nino</t>
  </si>
  <si>
    <t>Chavez PProd never published?</t>
  </si>
  <si>
    <t>El Nino avg</t>
  </si>
  <si>
    <t>El Nino</t>
  </si>
  <si>
    <t>Non El Nino avg</t>
  </si>
  <si>
    <t>Non El Nino</t>
  </si>
  <si>
    <t>Long East</t>
  </si>
  <si>
    <t>Arabian sea</t>
  </si>
  <si>
    <t>N07</t>
  </si>
  <si>
    <t>NSS 3-D model</t>
  </si>
  <si>
    <t>use avg of 100m Nitex for N &amp; S transect</t>
  </si>
  <si>
    <t>Buesseler et al., 1998</t>
  </si>
  <si>
    <t>S15</t>
  </si>
  <si>
    <t>Barber PProd (1997) limited to fewer stations than 234Th</t>
  </si>
  <si>
    <t>S11</t>
  </si>
  <si>
    <t>S07</t>
  </si>
  <si>
    <t>S04</t>
  </si>
  <si>
    <t>S02</t>
  </si>
  <si>
    <t>S09</t>
  </si>
  <si>
    <t>avg all deep</t>
  </si>
  <si>
    <t>simple average</t>
  </si>
  <si>
    <t>Could do better annual mean if required</t>
  </si>
  <si>
    <t>avg S02</t>
  </si>
  <si>
    <t>n=1 coastal site only</t>
  </si>
  <si>
    <t>coastal is higher</t>
  </si>
  <si>
    <t>South</t>
  </si>
  <si>
    <t>Long west</t>
  </si>
  <si>
    <t>AESOPS</t>
  </si>
  <si>
    <t xml:space="preserve">1D-SS </t>
  </si>
  <si>
    <t>80-150m 70um screen avg (n=3)</t>
  </si>
  <si>
    <t>high due to low PProd</t>
  </si>
  <si>
    <t>Buesseler et al., 2001</t>
  </si>
  <si>
    <t>Buesseler et al., 2002 for PProd</t>
  </si>
  <si>
    <t>note many ThE&gt;100% due to low PProd &amp; high export at end of bloom</t>
  </si>
  <si>
    <t>Oct-May</t>
  </si>
  <si>
    <t>C-SAZ</t>
  </si>
  <si>
    <t>^50-55</t>
  </si>
  <si>
    <t>did not bin Th flux</t>
  </si>
  <si>
    <t>did not bin C/Th</t>
  </si>
  <si>
    <t>best est for  season</t>
  </si>
  <si>
    <t>Buesseler et al., 2002 has these #'s</t>
  </si>
  <si>
    <t>N-APF</t>
  </si>
  <si>
    <t>^55-59</t>
  </si>
  <si>
    <t>APF</t>
  </si>
  <si>
    <t>^59-61.5</t>
  </si>
  <si>
    <t>highest POC flux Polar Front &amp; just south</t>
  </si>
  <si>
    <t>centric diatoms</t>
  </si>
  <si>
    <t>Highest bSi flux at APF &amp; S-APF</t>
  </si>
  <si>
    <t>S-APF</t>
  </si>
  <si>
    <t>^61.5-65.5</t>
  </si>
  <si>
    <t>S-ACC</t>
  </si>
  <si>
    <t>^65.5-68</t>
  </si>
  <si>
    <t>pennate/phaeo</t>
  </si>
  <si>
    <t>highest ThE in southernmost regions</t>
  </si>
  <si>
    <t>N-RS</t>
  </si>
  <si>
    <t>^68-72</t>
  </si>
  <si>
    <t>Benitez-Nelson et al.,  2000 Cont. Shelf Res.</t>
  </si>
  <si>
    <t>Gulf of Maine</t>
  </si>
  <si>
    <t>1-D SS model</t>
  </si>
  <si>
    <t>Average C/Th ratio over upper 50 meters used to determine POC flux for each cruise</t>
  </si>
  <si>
    <t>spring bloom dominated by large diatoms</t>
  </si>
  <si>
    <t>range 22%-49%</t>
  </si>
  <si>
    <t>NSS model</t>
  </si>
  <si>
    <t>Ross Sea</t>
  </si>
  <si>
    <t>ORCA-1</t>
  </si>
  <si>
    <t>177.9 W</t>
  </si>
  <si>
    <t>C/Th from &gt;70um screen @100m</t>
  </si>
  <si>
    <t>J. Marra on deck prod. Est's</t>
  </si>
  <si>
    <t>Cochran et al., 2000</t>
  </si>
  <si>
    <t>ORCA-2</t>
  </si>
  <si>
    <t>PProd rapidly increasing with season</t>
  </si>
  <si>
    <t>MINKE-1</t>
  </si>
  <si>
    <t>169.0 E</t>
  </si>
  <si>
    <t>one high sta (=150) brings up avg</t>
  </si>
  <si>
    <t>MINKE-2</t>
  </si>
  <si>
    <t>Pprod back to 22 on Feb 8</t>
  </si>
  <si>
    <t>artificially high due to changes in PProd with time</t>
  </si>
  <si>
    <t>SEI-1</t>
  </si>
  <si>
    <t>176.0 E</t>
  </si>
  <si>
    <t>SEI-2</t>
  </si>
  <si>
    <t>10/18-11/2</t>
  </si>
  <si>
    <t>ORCA</t>
  </si>
  <si>
    <t>1-D NSS model</t>
  </si>
  <si>
    <t>use mean C/Th between cruises</t>
  </si>
  <si>
    <t>ice edge diatom blooms</t>
  </si>
  <si>
    <t>11/2-1/19</t>
  </si>
  <si>
    <t>1/19-2/1</t>
  </si>
  <si>
    <t>2/1-4/14</t>
  </si>
  <si>
    <t>4/14-4/23</t>
  </si>
  <si>
    <t>avg. growth season</t>
  </si>
  <si>
    <t>daily weighted avg</t>
  </si>
  <si>
    <t>10/23-1/13</t>
  </si>
  <si>
    <t>MINKE</t>
  </si>
  <si>
    <t>early blooms typically Phaeocystis antarctica</t>
  </si>
  <si>
    <t>1/13-2/8</t>
  </si>
  <si>
    <t>2/8-4/18</t>
  </si>
  <si>
    <t>4/18-4/27</t>
  </si>
  <si>
    <t>1/24-4/13</t>
  </si>
  <si>
    <t>SEI</t>
  </si>
  <si>
    <t>diatom blooms</t>
  </si>
  <si>
    <t>4/13-4/30</t>
  </si>
  <si>
    <t>Nelson et al. PProd = 12 as they added in Nov. bloom data? from next season</t>
  </si>
  <si>
    <t>basin average</t>
  </si>
  <si>
    <t>weighted avg</t>
  </si>
  <si>
    <t>AESOPS N-RS ThE= 52%</t>
  </si>
  <si>
    <t>mol C m^-2</t>
  </si>
  <si>
    <t>40-75% best range</t>
  </si>
  <si>
    <t>AESOPS N-RS PProd = 4.2; POC flux = 2.2;</t>
  </si>
  <si>
    <t>lower limit since we have not increased flux due to higher PProd</t>
  </si>
  <si>
    <t>North Pacific Subtropical Gyre</t>
  </si>
  <si>
    <t>ALOHA</t>
  </si>
  <si>
    <t>158.0 W</t>
  </si>
  <si>
    <t xml:space="preserve">SS C/Th ratios from traps </t>
  </si>
  <si>
    <t>Benitez-Nelson et al., 2001 DSR</t>
  </si>
  <si>
    <t>annual avg.</t>
  </si>
  <si>
    <t xml:space="preserve">C/Th ratios average of traps </t>
  </si>
  <si>
    <t xml:space="preserve">Eastern Atlantic, Northern Iberian Margin                 </t>
  </si>
  <si>
    <t>29 May-22 June 1997</t>
  </si>
  <si>
    <t>CD-105</t>
  </si>
  <si>
    <t>41.42-43.0</t>
  </si>
  <si>
    <t>9.85-10.33 W</t>
  </si>
  <si>
    <t>600-1000</t>
  </si>
  <si>
    <t>5-60</t>
  </si>
  <si>
    <t>0.45 um filter for P Th and 0.7 um filter for POC, range given for C/Th ratios</t>
  </si>
  <si>
    <t>10-39</t>
  </si>
  <si>
    <t>43-162</t>
  </si>
  <si>
    <t>Hall et al., 2000 DSR</t>
  </si>
  <si>
    <t>23 Dec.'97- 19 Jan. '98</t>
  </si>
  <si>
    <t>CD-110</t>
  </si>
  <si>
    <t>mean 861</t>
  </si>
  <si>
    <t>need to contact authors for tabular station results of POC, C/Th ratios, Th flux and PProd</t>
  </si>
  <si>
    <t>Central Equirorial Pacific</t>
  </si>
  <si>
    <t>140.08 W</t>
  </si>
  <si>
    <t>2-D SS model</t>
  </si>
  <si>
    <t>trap C/Th ratios were used in ms for export calculations.</t>
  </si>
  <si>
    <t xml:space="preserve"> Murray et al., 1996 DSR II</t>
  </si>
  <si>
    <t>na</t>
  </si>
  <si>
    <t>Arabian Sea</t>
  </si>
  <si>
    <t>Apr-May 1994</t>
  </si>
  <si>
    <t>trap C/Th ratios were used in ms for export calculations.  Authors note C/Th ratios on trap particles "may not be appropriate"</t>
  </si>
  <si>
    <t>Authors note that C flux at all stations is higher than PP</t>
  </si>
  <si>
    <t>PProd data from Bhattathiri et al., 1996</t>
  </si>
  <si>
    <t>Authors propose C flux higher than PP: 1)additional C source 2)phase lag between flux and PP</t>
  </si>
  <si>
    <t>Sarin et al., Special Section: JGOFS (India)</t>
  </si>
  <si>
    <t>Feb-Mar 1995</t>
  </si>
  <si>
    <t>Gulf of Mexico</t>
  </si>
  <si>
    <t>no PP data available</t>
  </si>
  <si>
    <t xml:space="preserve">Guo et al., 2002 Mar. Chem </t>
  </si>
  <si>
    <t>flux calculations found in integration table</t>
  </si>
  <si>
    <t>Mediterranean Sea</t>
  </si>
  <si>
    <t>7-15 May1995</t>
  </si>
  <si>
    <t>DYFAMED</t>
  </si>
  <si>
    <t xml:space="preserve"> C/Th ratios from traps at 200m were used in ms for export calculations.  </t>
  </si>
  <si>
    <t>17-32</t>
  </si>
  <si>
    <t>29-55%</t>
  </si>
  <si>
    <t>Author notes that the experiment captured the end of high production period and is reflected by the range observed in ThE ratios</t>
  </si>
  <si>
    <t xml:space="preserve">Schmidt et al., 2002 DSR </t>
  </si>
  <si>
    <t>23-29 May1995</t>
  </si>
  <si>
    <t>39-49</t>
  </si>
  <si>
    <t>3-4%</t>
  </si>
  <si>
    <t>North Sea</t>
  </si>
  <si>
    <t>C/Th ratios back calculated from Th and POC flux.  Ratios are from &gt;0.45 um particles filtered from CTD.</t>
  </si>
  <si>
    <t>primary production reflects bloom of coccolithophore during the experiment</t>
  </si>
  <si>
    <t>Foster and Shimmield, 2002 DSR</t>
  </si>
  <si>
    <t>total</t>
  </si>
  <si>
    <t>North Water,</t>
  </si>
  <si>
    <t>E2  pumps</t>
  </si>
  <si>
    <t>Ratios from &gt;70 um particles collected by pumps</t>
  </si>
  <si>
    <t>POC fluxes determined from either trap or pump C/Th ratios and calculated Th flux</t>
  </si>
  <si>
    <t>Amiel et al., 2002 DSR II</t>
  </si>
  <si>
    <t>Northern Baffin Bay</t>
  </si>
  <si>
    <t>Klein et al., 2002 DSR II for PP</t>
  </si>
  <si>
    <t>E2  traps</t>
  </si>
  <si>
    <t>Ratios from &gt;0.45 um  particles in floating traps</t>
  </si>
  <si>
    <t>S4  pumps</t>
  </si>
  <si>
    <t>S4  traps</t>
  </si>
  <si>
    <t xml:space="preserve">trap C/Th </t>
  </si>
  <si>
    <t>S5  pumps</t>
  </si>
  <si>
    <t>S5  traps</t>
  </si>
  <si>
    <t>D2 pumps</t>
  </si>
  <si>
    <t>D2 traps</t>
  </si>
  <si>
    <t>E1 pumps</t>
  </si>
  <si>
    <t>E1 traps</t>
  </si>
  <si>
    <t>S2 pumps</t>
  </si>
  <si>
    <t>S2 traps</t>
  </si>
  <si>
    <t>S4 pumps</t>
  </si>
  <si>
    <t>S4 traps</t>
  </si>
  <si>
    <t>Beaufort Sea</t>
  </si>
  <si>
    <t>Aug-Sept 1995</t>
  </si>
  <si>
    <t>AR 1</t>
  </si>
  <si>
    <t>Ratios from 53-0.7 um particles collected by pumps</t>
  </si>
  <si>
    <t>Moran et al., 2000  CSR</t>
  </si>
  <si>
    <t>AR 3</t>
  </si>
  <si>
    <t>AR 5</t>
  </si>
  <si>
    <t>No PProd data available</t>
  </si>
  <si>
    <t>AR 9</t>
  </si>
  <si>
    <t>eastern equitorial Pacific</t>
  </si>
  <si>
    <t>6-10 June 1987</t>
  </si>
  <si>
    <t>2.53  S</t>
  </si>
  <si>
    <t>1-DSS model</t>
  </si>
  <si>
    <t xml:space="preserve">C/Th ratios back calculated from Th and POC flux. </t>
  </si>
  <si>
    <t>POC Flux from Integrated trap POC and Th residence times</t>
  </si>
  <si>
    <t xml:space="preserve">Murray et. al., 1989 DSR </t>
  </si>
  <si>
    <t>10-13 June 1987</t>
  </si>
  <si>
    <t>0.92 S</t>
  </si>
  <si>
    <t>80 m trap data used for Th flux</t>
  </si>
  <si>
    <t>16-20 June 1987</t>
  </si>
  <si>
    <t>20-23 June 1987</t>
  </si>
  <si>
    <t>South China Sea</t>
  </si>
  <si>
    <t>ISM</t>
  </si>
  <si>
    <t>Ratios from &gt;0.45 um particles collected from bottles</t>
  </si>
  <si>
    <t>regional PProd value (Dieago-McGlone et. al., 1999)</t>
  </si>
  <si>
    <t>Cai et. al.,  2002  DSR</t>
  </si>
  <si>
    <t>Southern Ocean</t>
  </si>
  <si>
    <t>transect 2-5</t>
  </si>
  <si>
    <t>6 W</t>
  </si>
  <si>
    <t>Ratios fromSPM  &gt;1.0 um particles collected from bottles</t>
  </si>
  <si>
    <t>van der Loeff et. al., 1996 DSRII</t>
  </si>
  <si>
    <t>transect 5-11</t>
  </si>
  <si>
    <t>FeOH extraction</t>
  </si>
  <si>
    <t>ratios calculated from mean carbon flux value</t>
  </si>
  <si>
    <t>350 - 690</t>
  </si>
  <si>
    <t>1202-1074</t>
  </si>
  <si>
    <t>430 - 860</t>
  </si>
  <si>
    <t>110 - 220</t>
  </si>
  <si>
    <t>ND-1535</t>
  </si>
  <si>
    <t>230 - 450</t>
  </si>
  <si>
    <t>1535-2892</t>
  </si>
  <si>
    <t>210 - 430</t>
  </si>
  <si>
    <t>335-388</t>
  </si>
  <si>
    <t>10 - 20</t>
  </si>
  <si>
    <t>ND-127</t>
  </si>
  <si>
    <t>150-300</t>
  </si>
  <si>
    <t>127-258</t>
  </si>
  <si>
    <t>00 - 00</t>
  </si>
  <si>
    <t>78-191</t>
  </si>
  <si>
    <t>160 - 310</t>
  </si>
  <si>
    <t>191-347</t>
  </si>
  <si>
    <t>100 - 200</t>
  </si>
  <si>
    <t>ND-ND</t>
  </si>
  <si>
    <t>20 - 40</t>
  </si>
  <si>
    <t>92G3-5</t>
  </si>
  <si>
    <t>Baskaran et.al., 1996  CSR</t>
  </si>
  <si>
    <t>92G3-6</t>
  </si>
  <si>
    <t xml:space="preserve">Th collected by MnO2 cartridges </t>
  </si>
  <si>
    <t>No POC or PProd data available</t>
  </si>
  <si>
    <t>92G7-5</t>
  </si>
  <si>
    <t>92G7-6</t>
  </si>
  <si>
    <t>Mid Atlantic Bight</t>
  </si>
  <si>
    <t>93G7 - 1</t>
  </si>
  <si>
    <t xml:space="preserve">600-800 meter sediment trap carbon/Th ratio </t>
  </si>
  <si>
    <t>Santschi et. al.,  1999  CSR</t>
  </si>
  <si>
    <t>93G7 - 2</t>
  </si>
  <si>
    <t>93G7 - 10</t>
  </si>
  <si>
    <t>94G4-1</t>
  </si>
  <si>
    <t>94G4 - 11</t>
  </si>
  <si>
    <t>94G4-12</t>
  </si>
  <si>
    <t>94G4-13</t>
  </si>
  <si>
    <t>Labrador Sea</t>
  </si>
  <si>
    <t>10-53 um particles from 100m; C/Th =4.4</t>
  </si>
  <si>
    <t xml:space="preserve">Moran et. al.,  2002 L&amp;O </t>
  </si>
  <si>
    <t>10-53 um particles from 100m; C/Th =4.8</t>
  </si>
  <si>
    <t>10-53 um particles from 100m; C/Th =6</t>
  </si>
  <si>
    <r>
      <t xml:space="preserve">Survey I       </t>
    </r>
    <r>
      <rPr>
        <sz val="10"/>
        <rFont val="Arial"/>
        <family val="2"/>
      </rPr>
      <t xml:space="preserve">              4- Feb-92</t>
    </r>
  </si>
  <si>
    <r>
      <t xml:space="preserve">Survey I I    </t>
    </r>
    <r>
      <rPr>
        <sz val="10"/>
        <rFont val="Arial"/>
        <family val="2"/>
      </rPr>
      <t xml:space="preserve">              11-Aug-92</t>
    </r>
  </si>
  <si>
    <r>
      <t>Integrated carbon removal (mmol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 xml:space="preserve">)                                      -20 </t>
    </r>
    <r>
      <rPr>
        <vertAlign val="superscript"/>
        <sz val="10"/>
        <rFont val="Arial"/>
        <family val="2"/>
      </rPr>
      <t>_</t>
    </r>
    <r>
      <rPr>
        <sz val="10"/>
        <rFont val="Arial"/>
        <family val="2"/>
      </rPr>
      <t>-50</t>
    </r>
  </si>
  <si>
    <r>
      <t>Pprod range over transect (mg C 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                                244-1202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</si>
</sst>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0.0000000"/>
    <numFmt numFmtId="170" formatCode="0.000000"/>
    <numFmt numFmtId="171" formatCode="0.00000000"/>
    <numFmt numFmtId="172" formatCode="m/d/yy"/>
    <numFmt numFmtId="173" formatCode="mmm\-yyyy"/>
    <numFmt numFmtId="174" formatCode="mm/dd/yy"/>
    <numFmt numFmtId="175" formatCode="hh:mm"/>
    <numFmt numFmtId="176" formatCode="0.00;[Red]0.00"/>
    <numFmt numFmtId="177" formatCode="m/d"/>
    <numFmt numFmtId="178" formatCode="_(* #,##0.000_);_(* \(#,##0.000\);_(* &quot;-&quot;??_);_(@_)"/>
    <numFmt numFmtId="179" formatCode="_(* #,##0.0_);_(* \(#,##0.0\);_(* &quot;-&quot;??_);_(@_)"/>
    <numFmt numFmtId="180" formatCode="_(* #,##0.0000_);_(* \(#,##0.0000\);_(* &quot;-&quot;??_);_(@_)"/>
    <numFmt numFmtId="181" formatCode="0.000000000"/>
    <numFmt numFmtId="182" formatCode="0.000%"/>
    <numFmt numFmtId="183" formatCode="d\-mmm\-yyyy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/>
    </xf>
    <xf numFmtId="164" fontId="0" fillId="0" borderId="0" xfId="0" applyNumberFormat="1" applyFont="1" applyAlignment="1">
      <alignment wrapText="1"/>
    </xf>
    <xf numFmtId="9" fontId="0" fillId="0" borderId="0" xfId="0" applyNumberFormat="1" applyFont="1" applyAlignment="1">
      <alignment wrapText="1"/>
    </xf>
    <xf numFmtId="0" fontId="0" fillId="2" borderId="0" xfId="0" applyFont="1" applyFill="1" applyAlignment="1">
      <alignment wrapText="1"/>
    </xf>
    <xf numFmtId="164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wrapText="1"/>
    </xf>
    <xf numFmtId="17" fontId="0" fillId="0" borderId="0" xfId="0" applyNumberFormat="1" applyFont="1" applyAlignment="1">
      <alignment wrapText="1"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wrapText="1"/>
    </xf>
    <xf numFmtId="9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" fontId="0" fillId="0" borderId="0" xfId="0" applyNumberFormat="1" applyFont="1" applyFill="1" applyAlignment="1">
      <alignment wrapText="1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1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2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15" fontId="0" fillId="2" borderId="0" xfId="0" applyNumberFormat="1" applyFont="1" applyFill="1" applyAlignment="1">
      <alignment/>
    </xf>
    <xf numFmtId="15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" fontId="0" fillId="0" borderId="0" xfId="0" applyNumberFormat="1" applyFont="1" applyAlignment="1" quotePrefix="1">
      <alignment/>
    </xf>
    <xf numFmtId="0" fontId="5" fillId="0" borderId="0" xfId="0" applyFont="1" applyAlignment="1">
      <alignment wrapText="1"/>
    </xf>
    <xf numFmtId="9" fontId="0" fillId="0" borderId="0" xfId="21" applyFont="1" applyAlignment="1">
      <alignment/>
    </xf>
    <xf numFmtId="164" fontId="0" fillId="0" borderId="0" xfId="0" applyNumberFormat="1" applyFont="1" applyAlignment="1">
      <alignment horizontal="left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 quotePrefix="1">
      <alignment horizontal="center"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6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Font="1" applyAlignment="1" quotePrefix="1">
      <alignment/>
    </xf>
    <xf numFmtId="0" fontId="0" fillId="2" borderId="0" xfId="0" applyFon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1"/>
  <sheetViews>
    <sheetView tabSelected="1" zoomScale="75" zoomScaleNormal="75" workbookViewId="0" topLeftCell="A1">
      <pane xSplit="6" ySplit="4" topLeftCell="G323" activePane="bottomRight" state="frozen"/>
      <selection pane="topLeft" activeCell="A1" sqref="A1"/>
      <selection pane="topRight" activeCell="G1" sqref="G1"/>
      <selection pane="bottomLeft" activeCell="A4" sqref="A4"/>
      <selection pane="bottomRight" activeCell="K6" sqref="K6"/>
    </sheetView>
  </sheetViews>
  <sheetFormatPr defaultColWidth="9.140625" defaultRowHeight="12.75"/>
  <cols>
    <col min="1" max="1" width="19.421875" style="2" customWidth="1"/>
    <col min="2" max="2" width="15.421875" style="2" customWidth="1"/>
    <col min="3" max="3" width="19.421875" style="2" customWidth="1"/>
    <col min="4" max="4" width="9.57421875" style="2" customWidth="1"/>
    <col min="5" max="5" width="13.140625" style="2" customWidth="1"/>
    <col min="6" max="6" width="8.140625" style="2" customWidth="1"/>
    <col min="7" max="7" width="12.8515625" style="2" customWidth="1"/>
    <col min="8" max="8" width="17.421875" style="2" customWidth="1"/>
    <col min="9" max="9" width="12.57421875" style="2" customWidth="1"/>
    <col min="10" max="10" width="26.28125" style="6" customWidth="1"/>
    <col min="11" max="11" width="16.421875" style="2" customWidth="1"/>
    <col min="12" max="12" width="22.28125" style="7" customWidth="1"/>
    <col min="13" max="13" width="16.8515625" style="2" customWidth="1"/>
    <col min="14" max="14" width="22.00390625" style="2" customWidth="1"/>
    <col min="15" max="15" width="11.57421875" style="8" customWidth="1"/>
    <col min="16" max="16" width="27.140625" style="2" customWidth="1"/>
    <col min="17" max="17" width="40.140625" style="2" customWidth="1"/>
    <col min="18" max="16384" width="9.140625" style="2" customWidth="1"/>
  </cols>
  <sheetData>
    <row r="1" spans="1:6" ht="12.75">
      <c r="A1" s="1" t="s">
        <v>0</v>
      </c>
      <c r="B1" s="1"/>
      <c r="D1" s="3" t="s">
        <v>1</v>
      </c>
      <c r="E1" s="4">
        <f ca="1">NOW()</f>
        <v>38016.42660462963</v>
      </c>
      <c r="F1" s="5"/>
    </row>
    <row r="2" ht="12.75">
      <c r="A2" s="9">
        <f ca="1">NOW()</f>
        <v>38016.42660462963</v>
      </c>
    </row>
    <row r="3" spans="1:17" s="1" customFormat="1" ht="12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  <c r="K3" s="1" t="s">
        <v>12</v>
      </c>
      <c r="L3" s="11" t="s">
        <v>13</v>
      </c>
      <c r="M3" s="1" t="s">
        <v>14</v>
      </c>
      <c r="N3" s="1" t="s">
        <v>15</v>
      </c>
      <c r="O3" s="12" t="s">
        <v>16</v>
      </c>
      <c r="P3" s="1" t="s">
        <v>17</v>
      </c>
      <c r="Q3" s="1" t="s">
        <v>18</v>
      </c>
    </row>
    <row r="4" spans="4:15" s="13" customFormat="1" ht="13.5" thickBot="1">
      <c r="D4" s="13" t="s">
        <v>19</v>
      </c>
      <c r="F4" s="13" t="s">
        <v>20</v>
      </c>
      <c r="G4" s="13" t="s">
        <v>21</v>
      </c>
      <c r="I4" s="13" t="s">
        <v>22</v>
      </c>
      <c r="J4" s="14"/>
      <c r="K4" s="13" t="s">
        <v>23</v>
      </c>
      <c r="L4" s="15"/>
      <c r="M4" s="13" t="s">
        <v>23</v>
      </c>
      <c r="O4" s="16" t="s">
        <v>24</v>
      </c>
    </row>
    <row r="5" spans="1:17" s="6" customFormat="1" ht="50.25" customHeight="1" thickTop="1">
      <c r="A5" s="6" t="s">
        <v>25</v>
      </c>
      <c r="B5" s="6" t="s">
        <v>26</v>
      </c>
      <c r="D5" s="6">
        <v>47</v>
      </c>
      <c r="E5" s="6" t="s">
        <v>27</v>
      </c>
      <c r="F5" s="6">
        <v>75</v>
      </c>
      <c r="G5" s="6">
        <v>1720</v>
      </c>
      <c r="H5" s="6" t="s">
        <v>28</v>
      </c>
      <c r="I5" s="6">
        <v>12</v>
      </c>
      <c r="J5" s="6" t="s">
        <v>29</v>
      </c>
      <c r="K5" s="6">
        <v>21</v>
      </c>
      <c r="L5" s="17" t="s">
        <v>30</v>
      </c>
      <c r="M5" s="6">
        <v>91</v>
      </c>
      <c r="N5" s="6" t="s">
        <v>31</v>
      </c>
      <c r="O5" s="18">
        <v>0.23</v>
      </c>
      <c r="P5" s="6" t="s">
        <v>32</v>
      </c>
      <c r="Q5" s="6" t="s">
        <v>33</v>
      </c>
    </row>
    <row r="6" spans="1:16" s="6" customFormat="1" ht="25.5">
      <c r="A6" s="6" t="s">
        <v>25</v>
      </c>
      <c r="B6" s="6" t="s">
        <v>34</v>
      </c>
      <c r="D6" s="6">
        <v>47</v>
      </c>
      <c r="E6" s="6" t="s">
        <v>27</v>
      </c>
      <c r="F6" s="6">
        <v>75</v>
      </c>
      <c r="G6" s="6">
        <v>3350</v>
      </c>
      <c r="H6" s="6" t="s">
        <v>28</v>
      </c>
      <c r="I6" s="6">
        <v>15</v>
      </c>
      <c r="J6" s="6" t="s">
        <v>35</v>
      </c>
      <c r="K6" s="6">
        <v>49</v>
      </c>
      <c r="L6" s="17" t="s">
        <v>36</v>
      </c>
      <c r="M6" s="6">
        <v>98</v>
      </c>
      <c r="N6" s="6" t="s">
        <v>37</v>
      </c>
      <c r="O6" s="18">
        <v>0.5</v>
      </c>
      <c r="P6" s="6" t="s">
        <v>38</v>
      </c>
    </row>
    <row r="7" spans="1:16" s="6" customFormat="1" ht="25.5">
      <c r="A7" s="6" t="s">
        <v>25</v>
      </c>
      <c r="B7" s="6" t="s">
        <v>39</v>
      </c>
      <c r="D7" s="6">
        <v>47</v>
      </c>
      <c r="E7" s="6" t="s">
        <v>27</v>
      </c>
      <c r="F7" s="6">
        <v>75</v>
      </c>
      <c r="G7" s="6">
        <v>3600</v>
      </c>
      <c r="H7" s="6" t="s">
        <v>28</v>
      </c>
      <c r="I7" s="6">
        <v>11</v>
      </c>
      <c r="J7" s="6" t="s">
        <v>40</v>
      </c>
      <c r="K7" s="6">
        <v>39</v>
      </c>
      <c r="L7" s="17" t="s">
        <v>41</v>
      </c>
      <c r="M7" s="6">
        <v>87</v>
      </c>
      <c r="N7" s="6" t="s">
        <v>42</v>
      </c>
      <c r="O7" s="18">
        <v>0.44</v>
      </c>
      <c r="P7" s="6" t="s">
        <v>43</v>
      </c>
    </row>
    <row r="8" spans="1:16" s="6" customFormat="1" ht="25.5">
      <c r="A8" s="6" t="s">
        <v>25</v>
      </c>
      <c r="B8" s="6" t="s">
        <v>26</v>
      </c>
      <c r="D8" s="6">
        <v>47</v>
      </c>
      <c r="E8" s="6" t="s">
        <v>27</v>
      </c>
      <c r="F8" s="6">
        <v>150</v>
      </c>
      <c r="G8" s="6">
        <v>4560</v>
      </c>
      <c r="H8" s="6" t="s">
        <v>28</v>
      </c>
      <c r="I8" s="6">
        <v>9.5</v>
      </c>
      <c r="J8" s="6" t="s">
        <v>44</v>
      </c>
      <c r="K8" s="6">
        <v>43</v>
      </c>
      <c r="L8" s="17" t="s">
        <v>45</v>
      </c>
      <c r="M8" s="6">
        <v>91</v>
      </c>
      <c r="O8" s="18">
        <v>0.47</v>
      </c>
      <c r="P8" s="6" t="s">
        <v>46</v>
      </c>
    </row>
    <row r="9" spans="1:16" s="6" customFormat="1" ht="25.5">
      <c r="A9" s="6" t="s">
        <v>25</v>
      </c>
      <c r="B9" s="6" t="s">
        <v>34</v>
      </c>
      <c r="D9" s="6">
        <v>47</v>
      </c>
      <c r="E9" s="6" t="s">
        <v>27</v>
      </c>
      <c r="F9" s="6">
        <v>150</v>
      </c>
      <c r="G9" s="6">
        <v>3090</v>
      </c>
      <c r="H9" s="6" t="s">
        <v>28</v>
      </c>
      <c r="I9" s="6">
        <v>8.9</v>
      </c>
      <c r="J9" s="6" t="s">
        <v>47</v>
      </c>
      <c r="K9" s="6">
        <v>27</v>
      </c>
      <c r="L9" s="17" t="s">
        <v>48</v>
      </c>
      <c r="M9" s="6">
        <v>98</v>
      </c>
      <c r="O9" s="18">
        <v>0.28</v>
      </c>
      <c r="P9" s="6" t="s">
        <v>49</v>
      </c>
    </row>
    <row r="10" spans="1:16" s="6" customFormat="1" ht="25.5">
      <c r="A10" s="6" t="s">
        <v>25</v>
      </c>
      <c r="B10" s="6" t="s">
        <v>39</v>
      </c>
      <c r="D10" s="6">
        <v>47</v>
      </c>
      <c r="E10" s="6" t="s">
        <v>27</v>
      </c>
      <c r="F10" s="6">
        <v>150</v>
      </c>
      <c r="G10" s="6">
        <v>5060</v>
      </c>
      <c r="H10" s="6" t="s">
        <v>28</v>
      </c>
      <c r="I10" s="6">
        <v>8.2</v>
      </c>
      <c r="J10" s="6" t="s">
        <v>50</v>
      </c>
      <c r="K10" s="6">
        <v>41</v>
      </c>
      <c r="L10" s="17" t="s">
        <v>51</v>
      </c>
      <c r="M10" s="6">
        <v>87</v>
      </c>
      <c r="O10" s="18">
        <v>0.47</v>
      </c>
      <c r="P10" s="6" t="s">
        <v>52</v>
      </c>
    </row>
    <row r="11" spans="1:16" s="6" customFormat="1" ht="25.5">
      <c r="A11" s="6" t="s">
        <v>25</v>
      </c>
      <c r="B11" s="6" t="s">
        <v>53</v>
      </c>
      <c r="D11" s="6">
        <v>47</v>
      </c>
      <c r="E11" s="6" t="s">
        <v>27</v>
      </c>
      <c r="F11" s="6">
        <v>75</v>
      </c>
      <c r="G11" s="17">
        <f>((10*G5)+(14*G6)+(12*G7))/36</f>
        <v>2980.5555555555557</v>
      </c>
      <c r="H11" s="6" t="s">
        <v>54</v>
      </c>
      <c r="I11" s="17">
        <f>((10*I5)+(14*I6)+(12*I7))/36</f>
        <v>12.833333333333334</v>
      </c>
      <c r="K11" s="17">
        <f>(I11*G11)/1000</f>
        <v>38.25046296296296</v>
      </c>
      <c r="L11" s="17"/>
      <c r="M11" s="17">
        <f>((10*M5)+(14*M6)+(12*M7))/36</f>
        <v>92.38888888888889</v>
      </c>
      <c r="O11" s="18">
        <f>K11/M11</f>
        <v>0.4140158348366406</v>
      </c>
      <c r="P11" s="6" t="s">
        <v>55</v>
      </c>
    </row>
    <row r="12" spans="1:15" s="6" customFormat="1" ht="25.5">
      <c r="A12" s="6" t="s">
        <v>25</v>
      </c>
      <c r="B12" s="6" t="s">
        <v>53</v>
      </c>
      <c r="D12" s="6">
        <v>47</v>
      </c>
      <c r="E12" s="6" t="s">
        <v>27</v>
      </c>
      <c r="F12" s="6">
        <v>150</v>
      </c>
      <c r="G12" s="17">
        <f>((10*G8)+(14*G9)+(12*G10))/36</f>
        <v>4155</v>
      </c>
      <c r="H12" s="6" t="s">
        <v>54</v>
      </c>
      <c r="I12" s="17">
        <f>((10*I8)+(14*I9)+(12*I10))/36</f>
        <v>8.833333333333334</v>
      </c>
      <c r="K12" s="17">
        <f>(I12*G12)/1000</f>
        <v>36.7025</v>
      </c>
      <c r="L12" s="17"/>
      <c r="M12" s="17">
        <f>((10*M8)+(14*M9)+(12*M10))/36</f>
        <v>92.38888888888889</v>
      </c>
      <c r="O12" s="18">
        <f>K12/M12</f>
        <v>0.3972609741431149</v>
      </c>
    </row>
    <row r="13" spans="12:15" s="19" customFormat="1" ht="12.75">
      <c r="L13" s="20"/>
      <c r="O13" s="21"/>
    </row>
    <row r="14" spans="1:17" s="6" customFormat="1" ht="26.25" customHeight="1">
      <c r="A14" s="6" t="s">
        <v>56</v>
      </c>
      <c r="B14" s="6" t="s">
        <v>57</v>
      </c>
      <c r="C14" s="6">
        <v>1</v>
      </c>
      <c r="D14" s="6">
        <v>78.25</v>
      </c>
      <c r="E14" s="6" t="s">
        <v>58</v>
      </c>
      <c r="F14" s="6">
        <v>50</v>
      </c>
      <c r="G14" s="6">
        <v>909</v>
      </c>
      <c r="H14" s="6" t="s">
        <v>59</v>
      </c>
      <c r="I14" s="6">
        <v>71.2</v>
      </c>
      <c r="J14" s="6" t="s">
        <v>60</v>
      </c>
      <c r="K14" s="6">
        <v>65</v>
      </c>
      <c r="L14" s="17"/>
      <c r="M14" s="6" t="s">
        <v>61</v>
      </c>
      <c r="O14" s="18"/>
      <c r="Q14" s="6" t="s">
        <v>62</v>
      </c>
    </row>
    <row r="15" spans="1:15" s="6" customFormat="1" ht="12.75">
      <c r="A15" s="6" t="s">
        <v>56</v>
      </c>
      <c r="C15" s="6">
        <v>2</v>
      </c>
      <c r="D15" s="6">
        <v>77.62</v>
      </c>
      <c r="E15" s="6" t="s">
        <v>63</v>
      </c>
      <c r="F15" s="6">
        <v>50</v>
      </c>
      <c r="G15" s="6">
        <v>828</v>
      </c>
      <c r="I15" s="6">
        <v>98.4</v>
      </c>
      <c r="J15" s="6" t="s">
        <v>64</v>
      </c>
      <c r="K15" s="6">
        <v>81</v>
      </c>
      <c r="L15" s="17"/>
      <c r="O15" s="18"/>
    </row>
    <row r="16" spans="1:17" s="6" customFormat="1" ht="38.25">
      <c r="A16" s="6" t="s">
        <v>56</v>
      </c>
      <c r="C16" s="6">
        <v>3</v>
      </c>
      <c r="D16" s="6">
        <v>77.09</v>
      </c>
      <c r="E16" s="6" t="s">
        <v>65</v>
      </c>
      <c r="F16" s="6">
        <v>50</v>
      </c>
      <c r="G16" s="6">
        <v>614</v>
      </c>
      <c r="I16" s="6">
        <v>47.6</v>
      </c>
      <c r="J16" s="6" t="s">
        <v>64</v>
      </c>
      <c r="K16" s="6">
        <v>29</v>
      </c>
      <c r="L16" s="17"/>
      <c r="N16" s="6" t="s">
        <v>66</v>
      </c>
      <c r="O16" s="18"/>
      <c r="Q16" s="6" t="s">
        <v>67</v>
      </c>
    </row>
    <row r="17" spans="1:15" s="6" customFormat="1" ht="12.75">
      <c r="A17" s="6" t="s">
        <v>56</v>
      </c>
      <c r="C17" s="6">
        <v>4</v>
      </c>
      <c r="D17" s="6">
        <v>75.13</v>
      </c>
      <c r="E17" s="6" t="s">
        <v>68</v>
      </c>
      <c r="F17" s="6">
        <v>50</v>
      </c>
      <c r="G17" s="6">
        <v>1549</v>
      </c>
      <c r="I17" s="6">
        <v>68.4</v>
      </c>
      <c r="J17" s="6" t="s">
        <v>64</v>
      </c>
      <c r="K17" s="6">
        <v>106</v>
      </c>
      <c r="L17" s="17"/>
      <c r="O17" s="18"/>
    </row>
    <row r="18" spans="1:15" s="6" customFormat="1" ht="12.75">
      <c r="A18" s="6" t="s">
        <v>56</v>
      </c>
      <c r="C18" s="6">
        <v>5</v>
      </c>
      <c r="D18" s="6">
        <v>73.81</v>
      </c>
      <c r="E18" s="6" t="s">
        <v>69</v>
      </c>
      <c r="F18" s="6">
        <v>50</v>
      </c>
      <c r="G18" s="6">
        <v>1279</v>
      </c>
      <c r="I18" s="6">
        <v>71.4</v>
      </c>
      <c r="J18" s="6" t="s">
        <v>64</v>
      </c>
      <c r="K18" s="6">
        <v>91</v>
      </c>
      <c r="L18" s="17"/>
      <c r="O18" s="18"/>
    </row>
    <row r="19" spans="1:15" s="6" customFormat="1" ht="12.75">
      <c r="A19" s="6" t="s">
        <v>56</v>
      </c>
      <c r="C19" s="6">
        <v>1</v>
      </c>
      <c r="F19" s="6">
        <v>120</v>
      </c>
      <c r="G19" s="6">
        <v>2903</v>
      </c>
      <c r="I19" s="6">
        <v>54.7</v>
      </c>
      <c r="J19" s="6" t="s">
        <v>64</v>
      </c>
      <c r="K19" s="6">
        <v>112</v>
      </c>
      <c r="L19" s="17"/>
      <c r="O19" s="18"/>
    </row>
    <row r="20" spans="1:15" s="6" customFormat="1" ht="12.75">
      <c r="A20" s="6" t="s">
        <v>56</v>
      </c>
      <c r="C20" s="6">
        <v>2</v>
      </c>
      <c r="F20" s="6">
        <v>150</v>
      </c>
      <c r="G20" s="6">
        <v>2900</v>
      </c>
      <c r="I20" s="6">
        <v>51.7</v>
      </c>
      <c r="J20" s="6" t="s">
        <v>64</v>
      </c>
      <c r="K20" s="6">
        <v>149</v>
      </c>
      <c r="L20" s="17"/>
      <c r="O20" s="18"/>
    </row>
    <row r="21" spans="1:15" s="6" customFormat="1" ht="12.75">
      <c r="A21" s="6" t="s">
        <v>56</v>
      </c>
      <c r="C21" s="6">
        <v>3</v>
      </c>
      <c r="F21" s="6">
        <v>90</v>
      </c>
      <c r="G21" s="6">
        <v>1050</v>
      </c>
      <c r="I21" s="6">
        <v>37.5</v>
      </c>
      <c r="J21" s="6" t="s">
        <v>64</v>
      </c>
      <c r="K21" s="6">
        <v>39</v>
      </c>
      <c r="L21" s="17"/>
      <c r="O21" s="18"/>
    </row>
    <row r="22" spans="1:15" s="6" customFormat="1" ht="12.75">
      <c r="A22" s="6" t="s">
        <v>56</v>
      </c>
      <c r="C22" s="6">
        <v>4</v>
      </c>
      <c r="F22" s="6">
        <v>200</v>
      </c>
      <c r="G22" s="6">
        <v>5079</v>
      </c>
      <c r="I22" s="6">
        <v>50.8</v>
      </c>
      <c r="J22" s="6" t="s">
        <v>64</v>
      </c>
      <c r="K22" s="6">
        <v>247</v>
      </c>
      <c r="L22" s="17"/>
      <c r="O22" s="18"/>
    </row>
    <row r="23" spans="1:15" s="6" customFormat="1" ht="12.75">
      <c r="A23" s="6" t="s">
        <v>56</v>
      </c>
      <c r="C23" s="6">
        <v>5</v>
      </c>
      <c r="F23" s="6">
        <v>200</v>
      </c>
      <c r="G23" s="6">
        <v>5037</v>
      </c>
      <c r="I23" s="6">
        <v>65.1</v>
      </c>
      <c r="J23" s="6" t="s">
        <v>64</v>
      </c>
      <c r="K23" s="6">
        <v>327</v>
      </c>
      <c r="L23" s="17"/>
      <c r="O23" s="18"/>
    </row>
    <row r="24" spans="1:17" s="6" customFormat="1" ht="38.25">
      <c r="A24" s="6" t="s">
        <v>56</v>
      </c>
      <c r="C24" s="6">
        <v>1</v>
      </c>
      <c r="F24" s="6">
        <v>120</v>
      </c>
      <c r="G24" s="6">
        <v>2903</v>
      </c>
      <c r="I24" s="6">
        <v>3.4</v>
      </c>
      <c r="J24" s="6" t="s">
        <v>70</v>
      </c>
      <c r="K24" s="6">
        <v>7.1</v>
      </c>
      <c r="L24" s="17" t="s">
        <v>71</v>
      </c>
      <c r="O24" s="18"/>
      <c r="Q24" s="6" t="s">
        <v>72</v>
      </c>
    </row>
    <row r="25" spans="1:15" s="6" customFormat="1" ht="12.75">
      <c r="A25" s="6" t="s">
        <v>56</v>
      </c>
      <c r="C25" s="6">
        <v>2</v>
      </c>
      <c r="F25" s="6">
        <v>150</v>
      </c>
      <c r="G25" s="6">
        <v>2900</v>
      </c>
      <c r="I25" s="6">
        <v>4.6</v>
      </c>
      <c r="J25" s="6" t="s">
        <v>73</v>
      </c>
      <c r="K25" s="6">
        <v>13.3</v>
      </c>
      <c r="L25" s="17"/>
      <c r="O25" s="18"/>
    </row>
    <row r="26" spans="1:15" s="6" customFormat="1" ht="12.75">
      <c r="A26" s="6" t="s">
        <v>56</v>
      </c>
      <c r="C26" s="6">
        <v>3</v>
      </c>
      <c r="F26" s="6">
        <v>90</v>
      </c>
      <c r="G26" s="6">
        <v>1050</v>
      </c>
      <c r="I26" s="6">
        <v>9.2</v>
      </c>
      <c r="J26" s="6" t="s">
        <v>73</v>
      </c>
      <c r="K26" s="6">
        <v>9.6</v>
      </c>
      <c r="L26" s="17"/>
      <c r="O26" s="18"/>
    </row>
    <row r="27" spans="1:15" s="6" customFormat="1" ht="12.75">
      <c r="A27" s="6" t="s">
        <v>56</v>
      </c>
      <c r="C27" s="6">
        <v>4</v>
      </c>
      <c r="F27" s="6">
        <v>200</v>
      </c>
      <c r="G27" s="6">
        <v>5079</v>
      </c>
      <c r="I27" s="6">
        <v>5.3</v>
      </c>
      <c r="J27" s="6" t="s">
        <v>73</v>
      </c>
      <c r="K27" s="6">
        <v>25.8</v>
      </c>
      <c r="L27" s="17"/>
      <c r="O27" s="18"/>
    </row>
    <row r="28" spans="1:15" s="6" customFormat="1" ht="12.75">
      <c r="A28" s="6" t="s">
        <v>56</v>
      </c>
      <c r="C28" s="6">
        <v>5</v>
      </c>
      <c r="F28" s="6">
        <v>200</v>
      </c>
      <c r="G28" s="6">
        <v>5037</v>
      </c>
      <c r="I28" s="6">
        <v>4.2</v>
      </c>
      <c r="J28" s="6" t="s">
        <v>73</v>
      </c>
      <c r="K28" s="6">
        <v>21.1</v>
      </c>
      <c r="L28" s="17"/>
      <c r="O28" s="18"/>
    </row>
    <row r="29" spans="12:15" s="19" customFormat="1" ht="12.75">
      <c r="L29" s="20"/>
      <c r="O29" s="21"/>
    </row>
    <row r="30" spans="1:17" s="6" customFormat="1" ht="38.25">
      <c r="A30" s="6" t="s">
        <v>74</v>
      </c>
      <c r="B30" s="22" t="s">
        <v>75</v>
      </c>
      <c r="C30" s="6" t="s">
        <v>76</v>
      </c>
      <c r="D30" s="17">
        <v>50</v>
      </c>
      <c r="E30" s="6" t="s">
        <v>77</v>
      </c>
      <c r="F30" s="6">
        <v>110</v>
      </c>
      <c r="G30" s="6">
        <v>1180</v>
      </c>
      <c r="H30" s="6" t="s">
        <v>78</v>
      </c>
      <c r="I30" s="6">
        <v>3.1</v>
      </c>
      <c r="J30" s="6" t="s">
        <v>79</v>
      </c>
      <c r="K30" s="17">
        <f aca="true" t="shared" si="0" ref="K30:K37">(I30*G30)/1000</f>
        <v>3.658</v>
      </c>
      <c r="L30" s="17" t="s">
        <v>80</v>
      </c>
      <c r="N30" s="6" t="s">
        <v>81</v>
      </c>
      <c r="O30" s="18"/>
      <c r="Q30" s="6" t="s">
        <v>82</v>
      </c>
    </row>
    <row r="31" spans="1:15" s="6" customFormat="1" ht="25.5">
      <c r="A31" s="6" t="s">
        <v>74</v>
      </c>
      <c r="B31" s="22" t="s">
        <v>83</v>
      </c>
      <c r="C31" s="6" t="s">
        <v>76</v>
      </c>
      <c r="D31" s="17">
        <v>50</v>
      </c>
      <c r="E31" s="6" t="s">
        <v>77</v>
      </c>
      <c r="F31" s="6">
        <v>210</v>
      </c>
      <c r="G31" s="6">
        <v>895</v>
      </c>
      <c r="H31" s="6" t="s">
        <v>84</v>
      </c>
      <c r="I31" s="6">
        <v>0.9</v>
      </c>
      <c r="J31" s="6" t="s">
        <v>85</v>
      </c>
      <c r="K31" s="17">
        <f t="shared" si="0"/>
        <v>0.8055</v>
      </c>
      <c r="L31" s="17" t="s">
        <v>86</v>
      </c>
      <c r="N31" s="6" t="s">
        <v>87</v>
      </c>
      <c r="O31" s="18"/>
    </row>
    <row r="32" spans="1:15" s="6" customFormat="1" ht="25.5">
      <c r="A32" s="6" t="s">
        <v>74</v>
      </c>
      <c r="B32" s="22" t="s">
        <v>83</v>
      </c>
      <c r="C32" s="6" t="s">
        <v>88</v>
      </c>
      <c r="D32" s="17">
        <v>48.39</v>
      </c>
      <c r="E32" s="6" t="s">
        <v>89</v>
      </c>
      <c r="F32" s="6">
        <v>210</v>
      </c>
      <c r="G32" s="6">
        <v>1030</v>
      </c>
      <c r="I32" s="6">
        <v>1.6</v>
      </c>
      <c r="J32" s="6" t="s">
        <v>85</v>
      </c>
      <c r="K32" s="17">
        <f t="shared" si="0"/>
        <v>1.648</v>
      </c>
      <c r="L32" s="17"/>
      <c r="O32" s="18"/>
    </row>
    <row r="33" spans="1:15" s="6" customFormat="1" ht="25.5">
      <c r="A33" s="6" t="s">
        <v>74</v>
      </c>
      <c r="B33" s="22" t="s">
        <v>90</v>
      </c>
      <c r="C33" s="6" t="s">
        <v>76</v>
      </c>
      <c r="D33" s="17">
        <v>50</v>
      </c>
      <c r="E33" s="6" t="s">
        <v>77</v>
      </c>
      <c r="F33" s="6">
        <v>210</v>
      </c>
      <c r="G33" s="6">
        <v>1500</v>
      </c>
      <c r="I33" s="6">
        <v>1.2</v>
      </c>
      <c r="J33" s="6" t="s">
        <v>85</v>
      </c>
      <c r="K33" s="17">
        <f t="shared" si="0"/>
        <v>1.8</v>
      </c>
      <c r="L33" s="17"/>
      <c r="O33" s="18"/>
    </row>
    <row r="34" spans="1:15" s="6" customFormat="1" ht="48.75" customHeight="1">
      <c r="A34" s="6" t="s">
        <v>74</v>
      </c>
      <c r="B34" s="22" t="s">
        <v>75</v>
      </c>
      <c r="C34" s="6" t="s">
        <v>76</v>
      </c>
      <c r="D34" s="17">
        <v>50</v>
      </c>
      <c r="E34" s="6" t="s">
        <v>77</v>
      </c>
      <c r="F34" s="6">
        <v>110</v>
      </c>
      <c r="G34" s="6">
        <v>1180</v>
      </c>
      <c r="I34" s="6">
        <v>1.4</v>
      </c>
      <c r="J34" s="6" t="s">
        <v>91</v>
      </c>
      <c r="K34" s="17">
        <f t="shared" si="0"/>
        <v>1.652</v>
      </c>
      <c r="L34" s="17"/>
      <c r="O34" s="18"/>
    </row>
    <row r="35" spans="1:15" s="6" customFormat="1" ht="25.5">
      <c r="A35" s="6" t="s">
        <v>74</v>
      </c>
      <c r="B35" s="22" t="s">
        <v>83</v>
      </c>
      <c r="C35" s="6" t="s">
        <v>76</v>
      </c>
      <c r="D35" s="17">
        <v>50</v>
      </c>
      <c r="E35" s="6" t="s">
        <v>77</v>
      </c>
      <c r="F35" s="6">
        <v>210</v>
      </c>
      <c r="G35" s="6">
        <v>895</v>
      </c>
      <c r="I35" s="6">
        <v>2.6</v>
      </c>
      <c r="J35" s="6" t="s">
        <v>73</v>
      </c>
      <c r="K35" s="17">
        <f t="shared" si="0"/>
        <v>2.327</v>
      </c>
      <c r="L35" s="17"/>
      <c r="O35" s="18"/>
    </row>
    <row r="36" spans="1:17" s="6" customFormat="1" ht="25.5">
      <c r="A36" s="6" t="s">
        <v>74</v>
      </c>
      <c r="B36" s="22" t="s">
        <v>83</v>
      </c>
      <c r="C36" s="6" t="s">
        <v>88</v>
      </c>
      <c r="D36" s="17">
        <v>48.39</v>
      </c>
      <c r="E36" s="6" t="s">
        <v>89</v>
      </c>
      <c r="F36" s="6">
        <v>210</v>
      </c>
      <c r="G36" s="6">
        <v>1030</v>
      </c>
      <c r="I36" s="6">
        <v>3.7</v>
      </c>
      <c r="J36" s="6" t="s">
        <v>73</v>
      </c>
      <c r="K36" s="17">
        <f t="shared" si="0"/>
        <v>3.811</v>
      </c>
      <c r="L36" s="17"/>
      <c r="O36" s="18"/>
      <c r="Q36" s="6" t="s">
        <v>92</v>
      </c>
    </row>
    <row r="37" spans="2:15" s="6" customFormat="1" ht="12.75">
      <c r="B37" s="22" t="s">
        <v>90</v>
      </c>
      <c r="C37" s="6" t="s">
        <v>76</v>
      </c>
      <c r="D37" s="17">
        <v>50</v>
      </c>
      <c r="E37" s="6" t="s">
        <v>77</v>
      </c>
      <c r="F37" s="6">
        <v>210</v>
      </c>
      <c r="G37" s="6">
        <v>1500</v>
      </c>
      <c r="I37" s="6">
        <v>5.7</v>
      </c>
      <c r="J37" s="6" t="s">
        <v>73</v>
      </c>
      <c r="K37" s="17">
        <f t="shared" si="0"/>
        <v>8.55</v>
      </c>
      <c r="L37" s="17"/>
      <c r="O37" s="18"/>
    </row>
    <row r="38" spans="12:15" s="19" customFormat="1" ht="12.75">
      <c r="L38" s="20"/>
      <c r="O38" s="21"/>
    </row>
    <row r="39" spans="1:17" s="6" customFormat="1" ht="38.25">
      <c r="A39" s="6" t="s">
        <v>93</v>
      </c>
      <c r="B39" s="6" t="s">
        <v>94</v>
      </c>
      <c r="C39" s="6" t="s">
        <v>95</v>
      </c>
      <c r="D39" s="6">
        <v>-67.62</v>
      </c>
      <c r="E39" s="6" t="s">
        <v>96</v>
      </c>
      <c r="F39" s="6">
        <v>100</v>
      </c>
      <c r="G39" s="6">
        <v>1560</v>
      </c>
      <c r="H39" s="6" t="s">
        <v>97</v>
      </c>
      <c r="I39" s="6">
        <v>13.5</v>
      </c>
      <c r="J39" s="6" t="s">
        <v>98</v>
      </c>
      <c r="K39" s="6">
        <v>21</v>
      </c>
      <c r="L39" s="17"/>
      <c r="M39" s="6">
        <v>63</v>
      </c>
      <c r="N39" s="6" t="s">
        <v>99</v>
      </c>
      <c r="O39" s="18">
        <v>0.33</v>
      </c>
      <c r="P39" s="6" t="s">
        <v>100</v>
      </c>
      <c r="Q39" s="6" t="s">
        <v>101</v>
      </c>
    </row>
    <row r="40" spans="3:16" ht="27.75" customHeight="1">
      <c r="C40" s="6" t="s">
        <v>95</v>
      </c>
      <c r="F40" s="6">
        <v>100</v>
      </c>
      <c r="G40" s="6">
        <v>1560</v>
      </c>
      <c r="I40" s="6">
        <v>6.5</v>
      </c>
      <c r="J40" s="6" t="s">
        <v>102</v>
      </c>
      <c r="K40" s="2">
        <v>10</v>
      </c>
      <c r="L40" s="17" t="s">
        <v>103</v>
      </c>
      <c r="M40" s="2">
        <v>63</v>
      </c>
      <c r="O40" s="8">
        <v>0.16</v>
      </c>
      <c r="P40" s="2" t="s">
        <v>104</v>
      </c>
    </row>
    <row r="41" spans="10:15" s="23" customFormat="1" ht="15.75" customHeight="1">
      <c r="J41" s="19"/>
      <c r="L41" s="24"/>
      <c r="O41" s="25"/>
    </row>
    <row r="42" spans="1:17" s="26" customFormat="1" ht="54.75" customHeight="1">
      <c r="A42" s="26" t="s">
        <v>105</v>
      </c>
      <c r="B42" s="27" t="s">
        <v>106</v>
      </c>
      <c r="C42" s="28">
        <v>10</v>
      </c>
      <c r="D42" s="29">
        <v>-33</v>
      </c>
      <c r="E42" s="26" t="s">
        <v>107</v>
      </c>
      <c r="F42" s="26">
        <v>110</v>
      </c>
      <c r="G42" s="26">
        <v>282</v>
      </c>
      <c r="H42" s="27" t="s">
        <v>108</v>
      </c>
      <c r="I42" s="26">
        <v>42.2</v>
      </c>
      <c r="J42" s="6" t="s">
        <v>109</v>
      </c>
      <c r="K42" s="26">
        <v>11.89</v>
      </c>
      <c r="L42" s="30" t="s">
        <v>110</v>
      </c>
      <c r="N42" s="26" t="s">
        <v>111</v>
      </c>
      <c r="O42" s="31"/>
      <c r="Q42" s="6" t="s">
        <v>82</v>
      </c>
    </row>
    <row r="43" spans="1:15" s="26" customFormat="1" ht="29.25" customHeight="1">
      <c r="A43" s="26" t="s">
        <v>112</v>
      </c>
      <c r="B43" s="27" t="s">
        <v>106</v>
      </c>
      <c r="C43" s="28">
        <v>8</v>
      </c>
      <c r="D43" s="26">
        <v>-16.3</v>
      </c>
      <c r="E43" s="26" t="s">
        <v>113</v>
      </c>
      <c r="F43" s="26">
        <v>100</v>
      </c>
      <c r="G43" s="26">
        <v>980</v>
      </c>
      <c r="I43" s="26">
        <v>3.2</v>
      </c>
      <c r="J43" s="26" t="s">
        <v>114</v>
      </c>
      <c r="K43" s="26">
        <v>3.16</v>
      </c>
      <c r="L43" s="30"/>
      <c r="O43" s="31"/>
    </row>
    <row r="44" spans="1:15" s="26" customFormat="1" ht="12.75">
      <c r="A44" s="26" t="s">
        <v>115</v>
      </c>
      <c r="B44" s="27" t="s">
        <v>106</v>
      </c>
      <c r="C44" s="32" t="s">
        <v>116</v>
      </c>
      <c r="D44" s="26">
        <v>-0.5</v>
      </c>
      <c r="E44" s="26" t="s">
        <v>117</v>
      </c>
      <c r="F44" s="26">
        <v>100</v>
      </c>
      <c r="G44" s="26">
        <v>-161</v>
      </c>
      <c r="I44" s="26">
        <v>19.9</v>
      </c>
      <c r="K44" s="33">
        <v>-3.2</v>
      </c>
      <c r="L44" s="30"/>
      <c r="O44" s="31"/>
    </row>
    <row r="45" spans="1:15" s="26" customFormat="1" ht="12.75">
      <c r="A45" s="26" t="s">
        <v>115</v>
      </c>
      <c r="B45" s="27" t="s">
        <v>106</v>
      </c>
      <c r="C45" s="32">
        <v>6</v>
      </c>
      <c r="D45" s="30">
        <v>8</v>
      </c>
      <c r="E45" s="26" t="s">
        <v>118</v>
      </c>
      <c r="F45" s="26">
        <v>100</v>
      </c>
      <c r="G45" s="26">
        <v>1227</v>
      </c>
      <c r="I45" s="26">
        <v>18.4</v>
      </c>
      <c r="K45" s="26">
        <v>22.55</v>
      </c>
      <c r="L45" s="30"/>
      <c r="N45" s="26" t="s">
        <v>119</v>
      </c>
      <c r="O45" s="31"/>
    </row>
    <row r="46" spans="1:15" s="26" customFormat="1" ht="12.75">
      <c r="A46" s="26" t="s">
        <v>115</v>
      </c>
      <c r="B46" s="27" t="s">
        <v>106</v>
      </c>
      <c r="C46" s="32" t="s">
        <v>120</v>
      </c>
      <c r="D46" s="30">
        <v>6</v>
      </c>
      <c r="E46" s="26" t="s">
        <v>121</v>
      </c>
      <c r="F46" s="26">
        <v>100</v>
      </c>
      <c r="G46" s="26">
        <v>1278</v>
      </c>
      <c r="I46" s="26">
        <v>29.9</v>
      </c>
      <c r="K46" s="26">
        <v>38.15</v>
      </c>
      <c r="L46" s="30"/>
      <c r="O46" s="31"/>
    </row>
    <row r="47" spans="2:15" s="26" customFormat="1" ht="12.75">
      <c r="B47" s="27"/>
      <c r="C47" s="32"/>
      <c r="D47" s="30"/>
      <c r="L47" s="30"/>
      <c r="O47" s="31"/>
    </row>
    <row r="48" spans="1:17" s="27" customFormat="1" ht="54" customHeight="1">
      <c r="A48" s="27" t="s">
        <v>115</v>
      </c>
      <c r="B48" s="27" t="s">
        <v>106</v>
      </c>
      <c r="C48" s="27">
        <v>6</v>
      </c>
      <c r="D48" s="34">
        <v>8</v>
      </c>
      <c r="E48" s="27" t="s">
        <v>118</v>
      </c>
      <c r="F48" s="6">
        <v>100</v>
      </c>
      <c r="G48" s="35">
        <v>605.260799999999</v>
      </c>
      <c r="H48" s="27" t="s">
        <v>108</v>
      </c>
      <c r="I48" s="34">
        <v>30.712669683257918</v>
      </c>
      <c r="J48" s="6" t="s">
        <v>122</v>
      </c>
      <c r="K48" s="34">
        <v>18.5891750226244</v>
      </c>
      <c r="L48" s="34"/>
      <c r="N48" s="26" t="s">
        <v>123</v>
      </c>
      <c r="O48" s="36"/>
      <c r="Q48" s="6" t="s">
        <v>82</v>
      </c>
    </row>
    <row r="49" spans="1:15" s="27" customFormat="1" ht="25.5">
      <c r="A49" s="27" t="s">
        <v>115</v>
      </c>
      <c r="B49" s="27" t="s">
        <v>106</v>
      </c>
      <c r="D49" s="27">
        <v>5.75</v>
      </c>
      <c r="E49" s="27" t="s">
        <v>124</v>
      </c>
      <c r="F49" s="6">
        <v>100</v>
      </c>
      <c r="G49" s="27">
        <v>1394</v>
      </c>
      <c r="I49" s="27">
        <v>11.7</v>
      </c>
      <c r="J49" s="6" t="s">
        <v>125</v>
      </c>
      <c r="K49" s="34">
        <v>16.33</v>
      </c>
      <c r="L49" s="34"/>
      <c r="O49" s="36"/>
    </row>
    <row r="50" spans="1:15" s="27" customFormat="1" ht="25.5">
      <c r="A50" s="27" t="s">
        <v>115</v>
      </c>
      <c r="B50" s="27" t="s">
        <v>106</v>
      </c>
      <c r="D50" s="27">
        <v>4.5</v>
      </c>
      <c r="E50" s="27" t="s">
        <v>126</v>
      </c>
      <c r="F50" s="6">
        <v>100</v>
      </c>
      <c r="G50" s="27">
        <v>1935</v>
      </c>
      <c r="I50" s="27">
        <v>14.6</v>
      </c>
      <c r="J50" s="6" t="s">
        <v>125</v>
      </c>
      <c r="K50" s="34">
        <v>28.15</v>
      </c>
      <c r="L50" s="34"/>
      <c r="O50" s="36"/>
    </row>
    <row r="51" spans="1:15" s="27" customFormat="1" ht="25.5">
      <c r="A51" s="27" t="s">
        <v>115</v>
      </c>
      <c r="B51" s="27" t="s">
        <v>106</v>
      </c>
      <c r="D51" s="27">
        <v>2.5</v>
      </c>
      <c r="E51" s="27" t="s">
        <v>127</v>
      </c>
      <c r="F51" s="6">
        <v>100</v>
      </c>
      <c r="G51" s="27">
        <v>-115</v>
      </c>
      <c r="I51" s="27">
        <v>16.3</v>
      </c>
      <c r="J51" s="6" t="s">
        <v>125</v>
      </c>
      <c r="K51" s="34">
        <v>-1.88</v>
      </c>
      <c r="L51" s="34"/>
      <c r="O51" s="36"/>
    </row>
    <row r="52" spans="1:15" s="27" customFormat="1" ht="25.5">
      <c r="A52" s="27" t="s">
        <v>115</v>
      </c>
      <c r="B52" s="27" t="s">
        <v>106</v>
      </c>
      <c r="D52" s="27">
        <v>-2.5</v>
      </c>
      <c r="E52" s="27" t="s">
        <v>127</v>
      </c>
      <c r="F52" s="6">
        <v>100</v>
      </c>
      <c r="G52" s="27">
        <v>1724</v>
      </c>
      <c r="I52" s="27">
        <v>24.9</v>
      </c>
      <c r="J52" s="6" t="s">
        <v>125</v>
      </c>
      <c r="K52" s="34">
        <v>42.94</v>
      </c>
      <c r="L52" s="34"/>
      <c r="O52" s="36"/>
    </row>
    <row r="53" spans="1:15" s="27" customFormat="1" ht="25.5">
      <c r="A53" s="27" t="s">
        <v>115</v>
      </c>
      <c r="B53" s="27" t="s">
        <v>106</v>
      </c>
      <c r="D53" s="27">
        <v>-4.5</v>
      </c>
      <c r="E53" s="27" t="s">
        <v>126</v>
      </c>
      <c r="F53" s="6">
        <v>100</v>
      </c>
      <c r="G53" s="27">
        <v>1721</v>
      </c>
      <c r="I53" s="27">
        <v>13.4</v>
      </c>
      <c r="J53" s="6" t="s">
        <v>125</v>
      </c>
      <c r="K53" s="34">
        <v>23.06</v>
      </c>
      <c r="L53" s="34"/>
      <c r="O53" s="36"/>
    </row>
    <row r="54" spans="1:15" s="27" customFormat="1" ht="25.5">
      <c r="A54" s="27" t="s">
        <v>115</v>
      </c>
      <c r="B54" s="27" t="s">
        <v>106</v>
      </c>
      <c r="D54" s="34">
        <v>-10</v>
      </c>
      <c r="E54" s="27" t="s">
        <v>128</v>
      </c>
      <c r="F54" s="6">
        <v>100</v>
      </c>
      <c r="G54" s="27">
        <v>-324</v>
      </c>
      <c r="I54" s="27">
        <v>10.8</v>
      </c>
      <c r="J54" s="6" t="s">
        <v>125</v>
      </c>
      <c r="K54" s="34">
        <v>-3.51</v>
      </c>
      <c r="L54" s="34"/>
      <c r="O54" s="36"/>
    </row>
    <row r="55" spans="10:15" s="27" customFormat="1" ht="12.75">
      <c r="J55" s="6"/>
      <c r="L55" s="34"/>
      <c r="O55" s="36"/>
    </row>
    <row r="56" spans="10:15" s="37" customFormat="1" ht="12.75">
      <c r="J56" s="19"/>
      <c r="L56" s="38"/>
      <c r="O56" s="39"/>
    </row>
    <row r="57" spans="10:15" s="27" customFormat="1" ht="12.75">
      <c r="J57" s="6"/>
      <c r="L57" s="34"/>
      <c r="O57" s="36"/>
    </row>
    <row r="58" spans="1:17" s="27" customFormat="1" ht="25.5">
      <c r="A58" s="27" t="s">
        <v>129</v>
      </c>
      <c r="B58" s="40">
        <v>34029</v>
      </c>
      <c r="C58" s="27" t="s">
        <v>130</v>
      </c>
      <c r="D58" s="27">
        <v>31.75</v>
      </c>
      <c r="E58" s="27" t="s">
        <v>131</v>
      </c>
      <c r="F58" s="27">
        <v>150</v>
      </c>
      <c r="G58" s="34">
        <v>86.84287840463398</v>
      </c>
      <c r="H58" s="27" t="s">
        <v>132</v>
      </c>
      <c r="I58" s="27">
        <v>9.1</v>
      </c>
      <c r="J58" s="41" t="s">
        <v>133</v>
      </c>
      <c r="K58" s="27">
        <v>0.8</v>
      </c>
      <c r="L58" s="17" t="s">
        <v>134</v>
      </c>
      <c r="M58" s="27">
        <v>67</v>
      </c>
      <c r="N58" s="27" t="s">
        <v>135</v>
      </c>
      <c r="O58" s="36">
        <v>0.012</v>
      </c>
      <c r="Q58" s="27" t="s">
        <v>136</v>
      </c>
    </row>
    <row r="59" spans="1:17" s="27" customFormat="1" ht="12.75">
      <c r="A59" s="27" t="s">
        <v>129</v>
      </c>
      <c r="B59" s="40">
        <v>34060</v>
      </c>
      <c r="C59" s="27" t="s">
        <v>137</v>
      </c>
      <c r="F59" s="27">
        <v>150</v>
      </c>
      <c r="G59" s="34">
        <v>871.0449782359628</v>
      </c>
      <c r="I59" s="27">
        <v>6.3</v>
      </c>
      <c r="J59" s="41" t="s">
        <v>138</v>
      </c>
      <c r="K59" s="27">
        <v>5.5</v>
      </c>
      <c r="L59" s="34"/>
      <c r="M59" s="27">
        <v>37</v>
      </c>
      <c r="O59" s="36">
        <v>0.147</v>
      </c>
      <c r="Q59" s="27" t="s">
        <v>139</v>
      </c>
    </row>
    <row r="60" spans="1:15" s="27" customFormat="1" ht="13.5" customHeight="1">
      <c r="A60" s="27" t="s">
        <v>129</v>
      </c>
      <c r="B60" s="40">
        <v>34090</v>
      </c>
      <c r="C60" s="27" t="s">
        <v>140</v>
      </c>
      <c r="F60" s="27">
        <v>150</v>
      </c>
      <c r="G60" s="34">
        <v>433.726132410243</v>
      </c>
      <c r="I60" s="27">
        <v>2</v>
      </c>
      <c r="J60" s="41" t="s">
        <v>138</v>
      </c>
      <c r="K60" s="27">
        <v>0.9</v>
      </c>
      <c r="L60" s="34"/>
      <c r="M60" s="27">
        <v>61</v>
      </c>
      <c r="O60" s="36">
        <v>0.015</v>
      </c>
    </row>
    <row r="61" spans="1:16" s="27" customFormat="1" ht="13.5" customHeight="1">
      <c r="A61" s="27" t="s">
        <v>129</v>
      </c>
      <c r="B61" s="40">
        <v>34121</v>
      </c>
      <c r="C61" s="27" t="s">
        <v>141</v>
      </c>
      <c r="F61" s="27">
        <v>150</v>
      </c>
      <c r="G61" s="34">
        <v>2450.398844242264</v>
      </c>
      <c r="I61" s="27">
        <v>2.1</v>
      </c>
      <c r="J61" s="41" t="s">
        <v>138</v>
      </c>
      <c r="K61" s="27">
        <v>5.2</v>
      </c>
      <c r="L61" s="34"/>
      <c r="M61" s="27">
        <v>15</v>
      </c>
      <c r="O61" s="36">
        <v>0.359</v>
      </c>
      <c r="P61" s="27" t="s">
        <v>142</v>
      </c>
    </row>
    <row r="62" spans="1:15" s="27" customFormat="1" ht="13.5" customHeight="1">
      <c r="A62" s="27" t="s">
        <v>129</v>
      </c>
      <c r="B62" s="40">
        <v>34151</v>
      </c>
      <c r="C62" s="27" t="s">
        <v>143</v>
      </c>
      <c r="F62" s="27">
        <v>150</v>
      </c>
      <c r="G62" s="34">
        <v>813.2512967232262</v>
      </c>
      <c r="I62" s="27">
        <v>6.6</v>
      </c>
      <c r="J62" s="41" t="s">
        <v>138</v>
      </c>
      <c r="K62" s="27">
        <v>5.4</v>
      </c>
      <c r="L62" s="34"/>
      <c r="M62" s="27">
        <v>26</v>
      </c>
      <c r="O62" s="36">
        <v>0.205</v>
      </c>
    </row>
    <row r="63" spans="1:16" s="27" customFormat="1" ht="13.5" customHeight="1">
      <c r="A63" s="27" t="s">
        <v>129</v>
      </c>
      <c r="B63" s="40">
        <v>34182</v>
      </c>
      <c r="C63" s="27" t="s">
        <v>144</v>
      </c>
      <c r="F63" s="27">
        <v>150</v>
      </c>
      <c r="G63" s="34">
        <v>1133.4110626929566</v>
      </c>
      <c r="I63" s="27">
        <v>4.5</v>
      </c>
      <c r="J63" s="41" t="s">
        <v>138</v>
      </c>
      <c r="K63" s="27">
        <v>5.2</v>
      </c>
      <c r="L63" s="34"/>
      <c r="M63" s="27">
        <v>9</v>
      </c>
      <c r="O63" s="36">
        <v>0.578</v>
      </c>
      <c r="P63" s="27" t="s">
        <v>142</v>
      </c>
    </row>
    <row r="64" spans="1:15" s="27" customFormat="1" ht="13.5" customHeight="1">
      <c r="A64" s="27" t="s">
        <v>129</v>
      </c>
      <c r="B64" s="40">
        <v>34243</v>
      </c>
      <c r="C64" s="27" t="s">
        <v>145</v>
      </c>
      <c r="F64" s="27">
        <v>150</v>
      </c>
      <c r="G64" s="34">
        <v>15.723270440251573</v>
      </c>
      <c r="I64" s="27">
        <v>6.1</v>
      </c>
      <c r="J64" s="41" t="s">
        <v>138</v>
      </c>
      <c r="K64" s="27">
        <v>0.1</v>
      </c>
      <c r="L64" s="34"/>
      <c r="M64" s="27">
        <v>27</v>
      </c>
      <c r="O64" s="36">
        <v>0.003</v>
      </c>
    </row>
    <row r="65" spans="1:15" s="27" customFormat="1" ht="13.5" customHeight="1">
      <c r="A65" s="27" t="s">
        <v>129</v>
      </c>
      <c r="B65" s="40">
        <v>33695</v>
      </c>
      <c r="C65" s="27" t="s">
        <v>146</v>
      </c>
      <c r="F65" s="27">
        <v>150</v>
      </c>
      <c r="G65" s="34">
        <v>797</v>
      </c>
      <c r="I65" s="27">
        <v>6.9</v>
      </c>
      <c r="J65" s="41" t="s">
        <v>138</v>
      </c>
      <c r="K65" s="27">
        <v>5.5</v>
      </c>
      <c r="L65" s="34"/>
      <c r="M65" s="27">
        <v>24</v>
      </c>
      <c r="O65" s="36">
        <v>0.227</v>
      </c>
    </row>
    <row r="66" spans="1:15" s="27" customFormat="1" ht="13.5" customHeight="1">
      <c r="A66" s="27" t="s">
        <v>129</v>
      </c>
      <c r="B66" s="40">
        <v>34455</v>
      </c>
      <c r="C66" s="27" t="s">
        <v>147</v>
      </c>
      <c r="F66" s="27">
        <v>150</v>
      </c>
      <c r="G66" s="34">
        <v>286.4350401182932</v>
      </c>
      <c r="I66" s="27">
        <v>4.9</v>
      </c>
      <c r="J66" s="41" t="s">
        <v>138</v>
      </c>
      <c r="K66" s="27">
        <v>1.4</v>
      </c>
      <c r="L66" s="34"/>
      <c r="M66" s="27">
        <v>27</v>
      </c>
      <c r="O66" s="36">
        <v>0.052</v>
      </c>
    </row>
    <row r="67" spans="1:16" s="27" customFormat="1" ht="13.5" customHeight="1">
      <c r="A67" s="27" t="s">
        <v>129</v>
      </c>
      <c r="B67" s="40">
        <v>34486</v>
      </c>
      <c r="C67" s="27" t="s">
        <v>148</v>
      </c>
      <c r="F67" s="27">
        <v>150</v>
      </c>
      <c r="G67" s="34">
        <v>-214.323736633321</v>
      </c>
      <c r="I67" s="27">
        <v>3</v>
      </c>
      <c r="J67" s="41" t="s">
        <v>138</v>
      </c>
      <c r="K67" s="27" t="s">
        <v>149</v>
      </c>
      <c r="L67" s="34"/>
      <c r="M67" s="27">
        <v>28</v>
      </c>
      <c r="O67" s="36" t="s">
        <v>149</v>
      </c>
      <c r="P67" s="27" t="s">
        <v>150</v>
      </c>
    </row>
    <row r="68" spans="1:15" s="27" customFormat="1" ht="13.5" customHeight="1">
      <c r="A68" s="27" t="s">
        <v>129</v>
      </c>
      <c r="B68" s="40">
        <v>34516</v>
      </c>
      <c r="C68" s="27" t="s">
        <v>151</v>
      </c>
      <c r="F68" s="27">
        <v>150</v>
      </c>
      <c r="G68" s="34">
        <v>546.6580184946399</v>
      </c>
      <c r="I68" s="27">
        <v>3.7</v>
      </c>
      <c r="J68" s="41" t="s">
        <v>138</v>
      </c>
      <c r="K68" s="27">
        <v>2</v>
      </c>
      <c r="L68" s="34"/>
      <c r="M68" s="27">
        <v>30</v>
      </c>
      <c r="O68" s="36">
        <v>0.067</v>
      </c>
    </row>
    <row r="69" spans="1:15" s="27" customFormat="1" ht="13.5" customHeight="1">
      <c r="A69" s="27" t="s">
        <v>129</v>
      </c>
      <c r="B69" s="40">
        <v>34547</v>
      </c>
      <c r="C69" s="27" t="s">
        <v>152</v>
      </c>
      <c r="F69" s="27">
        <v>150</v>
      </c>
      <c r="G69" s="34">
        <v>1573.6613310262617</v>
      </c>
      <c r="I69" s="27">
        <v>3.6</v>
      </c>
      <c r="J69" s="41" t="s">
        <v>138</v>
      </c>
      <c r="K69" s="27">
        <v>5.6</v>
      </c>
      <c r="L69" s="34"/>
      <c r="M69" s="27">
        <v>32</v>
      </c>
      <c r="O69" s="36">
        <v>0.176</v>
      </c>
    </row>
    <row r="70" spans="1:15" s="27" customFormat="1" ht="13.5" customHeight="1">
      <c r="A70" s="27" t="s">
        <v>129</v>
      </c>
      <c r="B70" s="40">
        <v>34608</v>
      </c>
      <c r="C70" s="27" t="s">
        <v>153</v>
      </c>
      <c r="F70" s="27">
        <v>150</v>
      </c>
      <c r="G70" s="34">
        <v>687.6349336771253</v>
      </c>
      <c r="I70" s="27">
        <v>2.5</v>
      </c>
      <c r="J70" s="41" t="s">
        <v>138</v>
      </c>
      <c r="K70" s="27">
        <v>1.7</v>
      </c>
      <c r="L70" s="34"/>
      <c r="M70" s="27">
        <v>41</v>
      </c>
      <c r="O70" s="36">
        <v>0.041</v>
      </c>
    </row>
    <row r="71" spans="1:16" s="27" customFormat="1" ht="13.5" customHeight="1">
      <c r="A71" s="27" t="s">
        <v>129</v>
      </c>
      <c r="B71" s="40">
        <v>34639</v>
      </c>
      <c r="C71" s="27" t="s">
        <v>154</v>
      </c>
      <c r="F71" s="27">
        <v>150</v>
      </c>
      <c r="G71" s="34">
        <v>-146.9240360610468</v>
      </c>
      <c r="I71" s="27">
        <v>6.2</v>
      </c>
      <c r="J71" s="41" t="s">
        <v>138</v>
      </c>
      <c r="K71" s="27" t="s">
        <v>149</v>
      </c>
      <c r="L71" s="34"/>
      <c r="M71" s="27">
        <v>16</v>
      </c>
      <c r="O71" s="36" t="s">
        <v>149</v>
      </c>
      <c r="P71" s="27" t="s">
        <v>150</v>
      </c>
    </row>
    <row r="72" spans="1:15" s="27" customFormat="1" ht="13.5" customHeight="1">
      <c r="A72" s="27" t="s">
        <v>129</v>
      </c>
      <c r="B72" s="40">
        <v>34790</v>
      </c>
      <c r="C72" s="27" t="s">
        <v>155</v>
      </c>
      <c r="F72" s="27">
        <v>150</v>
      </c>
      <c r="G72" s="34">
        <v>190</v>
      </c>
      <c r="I72" s="27">
        <v>4.6</v>
      </c>
      <c r="J72" s="41" t="s">
        <v>138</v>
      </c>
      <c r="K72" s="27">
        <v>0.9</v>
      </c>
      <c r="L72" s="34"/>
      <c r="M72" s="27">
        <v>39</v>
      </c>
      <c r="O72" s="36">
        <v>0.022</v>
      </c>
    </row>
    <row r="73" spans="1:15" s="27" customFormat="1" ht="13.5" customHeight="1">
      <c r="A73" s="27" t="s">
        <v>129</v>
      </c>
      <c r="B73" s="40">
        <v>34820</v>
      </c>
      <c r="C73" s="27" t="s">
        <v>156</v>
      </c>
      <c r="F73" s="27">
        <v>150</v>
      </c>
      <c r="G73" s="34">
        <v>410.82531039475447</v>
      </c>
      <c r="I73" s="27">
        <v>4.8</v>
      </c>
      <c r="J73" s="41" t="s">
        <v>138</v>
      </c>
      <c r="K73" s="27">
        <v>2</v>
      </c>
      <c r="L73" s="34"/>
      <c r="M73" s="27">
        <v>69</v>
      </c>
      <c r="O73" s="36">
        <v>0.028</v>
      </c>
    </row>
    <row r="74" spans="1:15" s="27" customFormat="1" ht="13.5" customHeight="1">
      <c r="A74" s="27" t="s">
        <v>129</v>
      </c>
      <c r="B74" s="40">
        <v>34851</v>
      </c>
      <c r="C74" s="27" t="s">
        <v>157</v>
      </c>
      <c r="F74" s="27">
        <v>150</v>
      </c>
      <c r="G74" s="34">
        <v>270.0707491615809</v>
      </c>
      <c r="I74" s="27">
        <v>4.6</v>
      </c>
      <c r="J74" s="41" t="s">
        <v>138</v>
      </c>
      <c r="K74" s="27">
        <v>1.2</v>
      </c>
      <c r="L74" s="34"/>
      <c r="M74" s="27">
        <v>30</v>
      </c>
      <c r="O74" s="36">
        <v>0.041</v>
      </c>
    </row>
    <row r="75" spans="1:15" s="27" customFormat="1" ht="13.5" customHeight="1">
      <c r="A75" s="27" t="s">
        <v>129</v>
      </c>
      <c r="B75" s="40">
        <v>34881</v>
      </c>
      <c r="C75" s="27" t="s">
        <v>158</v>
      </c>
      <c r="F75" s="27">
        <v>150</v>
      </c>
      <c r="G75" s="34">
        <v>1051.8121777036242</v>
      </c>
      <c r="I75" s="27">
        <v>3.7</v>
      </c>
      <c r="J75" s="41" t="s">
        <v>138</v>
      </c>
      <c r="K75" s="27">
        <v>3.8</v>
      </c>
      <c r="L75" s="34"/>
      <c r="M75" s="27">
        <v>72</v>
      </c>
      <c r="O75" s="36">
        <v>0.054</v>
      </c>
    </row>
    <row r="76" spans="1:15" s="27" customFormat="1" ht="13.5" customHeight="1">
      <c r="A76" s="27" t="s">
        <v>129</v>
      </c>
      <c r="B76" s="40">
        <v>34881</v>
      </c>
      <c r="C76" s="27" t="s">
        <v>159</v>
      </c>
      <c r="F76" s="27">
        <v>150</v>
      </c>
      <c r="G76" s="34">
        <v>1575.6953846373551</v>
      </c>
      <c r="I76" s="27">
        <v>3.1</v>
      </c>
      <c r="J76" s="41" t="s">
        <v>138</v>
      </c>
      <c r="K76" s="27">
        <v>4.9</v>
      </c>
      <c r="L76" s="34"/>
      <c r="M76" s="27">
        <v>30</v>
      </c>
      <c r="O76" s="36">
        <v>0.164</v>
      </c>
    </row>
    <row r="77" spans="1:16" s="27" customFormat="1" ht="13.5" customHeight="1">
      <c r="A77" s="27" t="s">
        <v>129</v>
      </c>
      <c r="B77" s="40">
        <v>34943</v>
      </c>
      <c r="C77" s="27" t="s">
        <v>160</v>
      </c>
      <c r="F77" s="27">
        <v>150</v>
      </c>
      <c r="G77" s="34">
        <v>-79.53395278772363</v>
      </c>
      <c r="I77" s="27">
        <v>3.1</v>
      </c>
      <c r="J77" s="41" t="s">
        <v>138</v>
      </c>
      <c r="K77" s="27" t="s">
        <v>149</v>
      </c>
      <c r="L77" s="34"/>
      <c r="M77" s="27">
        <v>32</v>
      </c>
      <c r="O77" s="36"/>
      <c r="P77" s="27" t="s">
        <v>150</v>
      </c>
    </row>
    <row r="78" spans="6:16" s="27" customFormat="1" ht="13.5" customHeight="1">
      <c r="F78" s="27" t="s">
        <v>161</v>
      </c>
      <c r="G78" s="34">
        <f>AVERAGE(G58:G77)</f>
        <v>637.670484144054</v>
      </c>
      <c r="I78" s="34">
        <f>AVERAGE(I58:I77)</f>
        <v>4.5699999999999985</v>
      </c>
      <c r="J78" s="41"/>
      <c r="K78" s="42">
        <f>+I78*G78/1000</f>
        <v>2.9141541125383257</v>
      </c>
      <c r="L78" s="34"/>
      <c r="M78" s="34">
        <f>AVERAGE(M58:M77)</f>
        <v>35.6</v>
      </c>
      <c r="O78" s="36">
        <f>+K78/M78</f>
        <v>0.0818582615881552</v>
      </c>
      <c r="P78" s="27" t="s">
        <v>162</v>
      </c>
    </row>
    <row r="79" spans="10:15" s="37" customFormat="1" ht="13.5" customHeight="1">
      <c r="J79" s="43"/>
      <c r="L79" s="38"/>
      <c r="O79" s="39"/>
    </row>
    <row r="80" spans="5:15" s="44" customFormat="1" ht="13.5" customHeight="1">
      <c r="E80" s="44" t="s">
        <v>163</v>
      </c>
      <c r="J80" s="33"/>
      <c r="L80" s="29"/>
      <c r="O80" s="45"/>
    </row>
    <row r="81" spans="1:17" s="27" customFormat="1" ht="23.25" customHeight="1">
      <c r="A81" s="27" t="s">
        <v>164</v>
      </c>
      <c r="B81" s="46">
        <v>33698</v>
      </c>
      <c r="D81" s="27">
        <v>10</v>
      </c>
      <c r="E81" s="27">
        <v>170</v>
      </c>
      <c r="F81" s="27">
        <v>100</v>
      </c>
      <c r="G81" s="35">
        <v>1642.1650679344118</v>
      </c>
      <c r="H81" s="27" t="s">
        <v>165</v>
      </c>
      <c r="I81" s="34">
        <v>1.0898266671620798</v>
      </c>
      <c r="J81" s="41" t="s">
        <v>166</v>
      </c>
      <c r="K81" s="34">
        <v>1.7896752829169504</v>
      </c>
      <c r="L81" s="34" t="s">
        <v>167</v>
      </c>
      <c r="M81" s="35">
        <v>29.769166666666663</v>
      </c>
      <c r="N81" s="6" t="s">
        <v>168</v>
      </c>
      <c r="O81" s="36">
        <f>+K81/M81</f>
        <v>0.06011842061138036</v>
      </c>
      <c r="Q81" s="27" t="s">
        <v>169</v>
      </c>
    </row>
    <row r="82" spans="1:17" s="27" customFormat="1" ht="13.5" customHeight="1">
      <c r="A82" s="27" t="s">
        <v>164</v>
      </c>
      <c r="B82" s="46">
        <v>33699</v>
      </c>
      <c r="D82" s="27">
        <v>8</v>
      </c>
      <c r="E82" s="27">
        <v>170</v>
      </c>
      <c r="F82" s="27">
        <v>100</v>
      </c>
      <c r="G82" s="35">
        <v>1444.8561860713614</v>
      </c>
      <c r="I82" s="34">
        <v>1.1791945514452606</v>
      </c>
      <c r="J82" s="6"/>
      <c r="K82" s="34">
        <v>1.7037665422373292</v>
      </c>
      <c r="L82" s="34">
        <v>6.4</v>
      </c>
      <c r="M82" s="35">
        <v>36.37166666666666</v>
      </c>
      <c r="O82" s="36">
        <f aca="true" t="shared" si="1" ref="O82:O146">+K82/M82</f>
        <v>0.04684323536371707</v>
      </c>
      <c r="Q82" s="27" t="s">
        <v>170</v>
      </c>
    </row>
    <row r="83" spans="1:17" s="27" customFormat="1" ht="13.5" customHeight="1">
      <c r="A83" s="27" t="s">
        <v>164</v>
      </c>
      <c r="B83" s="46">
        <v>33701</v>
      </c>
      <c r="D83" s="27">
        <v>2</v>
      </c>
      <c r="E83" s="27">
        <v>170</v>
      </c>
      <c r="F83" s="27">
        <v>100</v>
      </c>
      <c r="G83" s="35">
        <v>1554.6361873096862</v>
      </c>
      <c r="I83" s="34">
        <v>1.0534596425860947</v>
      </c>
      <c r="J83" s="6"/>
      <c r="K83" s="34">
        <v>1.637746482234671</v>
      </c>
      <c r="L83" s="34">
        <v>17.4</v>
      </c>
      <c r="M83" s="35">
        <v>128.9225</v>
      </c>
      <c r="O83" s="36">
        <f t="shared" si="1"/>
        <v>0.01270334101677109</v>
      </c>
      <c r="Q83" s="27" t="s">
        <v>171</v>
      </c>
    </row>
    <row r="84" spans="1:15" s="27" customFormat="1" ht="13.5" customHeight="1">
      <c r="A84" s="27" t="s">
        <v>164</v>
      </c>
      <c r="B84" s="46">
        <v>33701</v>
      </c>
      <c r="D84" s="27">
        <v>1</v>
      </c>
      <c r="E84" s="27">
        <v>170</v>
      </c>
      <c r="F84" s="27">
        <v>100</v>
      </c>
      <c r="G84" s="35">
        <v>2163.168875806178</v>
      </c>
      <c r="I84" s="34">
        <v>1.2052391288432074</v>
      </c>
      <c r="J84" s="6"/>
      <c r="K84" s="34">
        <v>2.607135771417379</v>
      </c>
      <c r="L84" s="34">
        <v>19.9</v>
      </c>
      <c r="M84" s="35">
        <v>33.475833333333334</v>
      </c>
      <c r="O84" s="36">
        <f t="shared" si="1"/>
        <v>0.07788113130618741</v>
      </c>
    </row>
    <row r="85" spans="1:15" s="27" customFormat="1" ht="13.5" customHeight="1">
      <c r="A85" s="27" t="s">
        <v>164</v>
      </c>
      <c r="B85" s="46">
        <v>33702</v>
      </c>
      <c r="D85" s="27">
        <v>0</v>
      </c>
      <c r="E85" s="27">
        <v>170</v>
      </c>
      <c r="F85" s="27">
        <v>100</v>
      </c>
      <c r="G85" s="35">
        <v>2694.079268812636</v>
      </c>
      <c r="I85" s="34">
        <v>1.4298684665154588</v>
      </c>
      <c r="J85" s="6"/>
      <c r="K85" s="34">
        <v>3.852178992768213</v>
      </c>
      <c r="L85" s="34">
        <v>17.8</v>
      </c>
      <c r="M85" s="35">
        <v>41.81583333333333</v>
      </c>
      <c r="O85" s="36">
        <f t="shared" si="1"/>
        <v>0.09212249728615268</v>
      </c>
    </row>
    <row r="86" spans="1:15" s="27" customFormat="1" ht="13.5" customHeight="1">
      <c r="A86" s="27" t="s">
        <v>164</v>
      </c>
      <c r="B86" s="46">
        <v>33704</v>
      </c>
      <c r="D86" s="27">
        <v>-1</v>
      </c>
      <c r="E86" s="27">
        <v>170</v>
      </c>
      <c r="F86" s="27">
        <v>100</v>
      </c>
      <c r="G86" s="35">
        <v>2931.2470112168958</v>
      </c>
      <c r="I86" s="34">
        <v>1.3934776602502201</v>
      </c>
      <c r="J86" s="6"/>
      <c r="K86" s="34">
        <v>4.084627226805971</v>
      </c>
      <c r="L86" s="34">
        <v>14.6</v>
      </c>
      <c r="M86" s="35">
        <v>27.684166666666666</v>
      </c>
      <c r="O86" s="36">
        <f t="shared" si="1"/>
        <v>0.14754380278038484</v>
      </c>
    </row>
    <row r="87" spans="1:15" s="27" customFormat="1" ht="13.5" customHeight="1">
      <c r="A87" s="27" t="s">
        <v>164</v>
      </c>
      <c r="B87" s="46">
        <v>33704</v>
      </c>
      <c r="D87" s="27">
        <v>-2</v>
      </c>
      <c r="E87" s="27">
        <v>170</v>
      </c>
      <c r="F87" s="27">
        <v>100</v>
      </c>
      <c r="G87" s="35">
        <v>2858.5619152126137</v>
      </c>
      <c r="I87" s="34">
        <v>0.9865426415133971</v>
      </c>
      <c r="J87" s="6"/>
      <c r="K87" s="34">
        <v>2.8200932227634476</v>
      </c>
      <c r="L87" s="34">
        <v>13.1</v>
      </c>
      <c r="M87" s="35">
        <v>45.5225</v>
      </c>
      <c r="O87" s="36">
        <f t="shared" si="1"/>
        <v>0.061949436493238454</v>
      </c>
    </row>
    <row r="88" spans="1:15" ht="13.5" customHeight="1">
      <c r="A88" s="27" t="s">
        <v>164</v>
      </c>
      <c r="B88" s="47">
        <v>33706</v>
      </c>
      <c r="D88" s="2">
        <v>-8</v>
      </c>
      <c r="E88" s="2">
        <v>170</v>
      </c>
      <c r="F88" s="27">
        <v>100</v>
      </c>
      <c r="G88" s="48">
        <v>2038.6892261220162</v>
      </c>
      <c r="I88" s="7">
        <v>0.7929095821278159</v>
      </c>
      <c r="K88" s="34">
        <v>1.6164962223728883</v>
      </c>
      <c r="L88" s="7">
        <v>12.7</v>
      </c>
      <c r="M88" s="48">
        <v>47.839166666666664</v>
      </c>
      <c r="O88" s="36">
        <f t="shared" si="1"/>
        <v>0.033790225353135785</v>
      </c>
    </row>
    <row r="89" spans="1:15" ht="13.5" customHeight="1">
      <c r="A89" s="27" t="s">
        <v>164</v>
      </c>
      <c r="B89" s="47">
        <v>33707</v>
      </c>
      <c r="D89" s="2">
        <v>-10</v>
      </c>
      <c r="E89" s="2">
        <v>170</v>
      </c>
      <c r="F89" s="27">
        <v>100</v>
      </c>
      <c r="G89" s="48">
        <v>2225.880377661168</v>
      </c>
      <c r="I89" s="7">
        <v>0.8450010258356007</v>
      </c>
      <c r="K89" s="34">
        <v>1.8808712025110212</v>
      </c>
      <c r="L89" s="7">
        <v>14.7</v>
      </c>
      <c r="M89" s="48">
        <v>44.24833333333333</v>
      </c>
      <c r="O89" s="36">
        <f t="shared" si="1"/>
        <v>0.04250716492171505</v>
      </c>
    </row>
    <row r="90" spans="1:15" ht="13.5" customHeight="1">
      <c r="A90" s="27" t="s">
        <v>164</v>
      </c>
      <c r="B90" s="47">
        <v>33729</v>
      </c>
      <c r="D90" s="2">
        <v>10</v>
      </c>
      <c r="E90" s="2">
        <v>140</v>
      </c>
      <c r="F90" s="27">
        <v>100</v>
      </c>
      <c r="G90" s="48">
        <v>1348.6937261015662</v>
      </c>
      <c r="I90" s="7">
        <v>0.9537520095525511</v>
      </c>
      <c r="K90" s="34">
        <v>1.2863193515402869</v>
      </c>
      <c r="L90" s="7">
        <v>10.2</v>
      </c>
      <c r="M90" s="48">
        <v>27.91583333333333</v>
      </c>
      <c r="O90" s="36">
        <f t="shared" si="1"/>
        <v>0.046078486577161834</v>
      </c>
    </row>
    <row r="91" spans="1:15" ht="13.5" customHeight="1">
      <c r="A91" s="27" t="s">
        <v>164</v>
      </c>
      <c r="B91" s="47">
        <v>33729</v>
      </c>
      <c r="D91" s="2">
        <v>9</v>
      </c>
      <c r="E91" s="2">
        <v>140</v>
      </c>
      <c r="F91" s="27">
        <v>100</v>
      </c>
      <c r="G91" s="48">
        <v>1622.4443038554589</v>
      </c>
      <c r="I91" s="7">
        <v>0.8929546308477192</v>
      </c>
      <c r="K91" s="34">
        <v>1.448769154420236</v>
      </c>
      <c r="L91" s="7">
        <v>14.1</v>
      </c>
      <c r="M91" s="48">
        <v>64.05583333333333</v>
      </c>
      <c r="O91" s="36">
        <f t="shared" si="1"/>
        <v>0.022617286811040933</v>
      </c>
    </row>
    <row r="92" spans="1:15" ht="13.5" customHeight="1">
      <c r="A92" s="27" t="s">
        <v>164</v>
      </c>
      <c r="B92" s="47">
        <v>33727</v>
      </c>
      <c r="D92" s="2">
        <v>5</v>
      </c>
      <c r="E92" s="2">
        <v>140</v>
      </c>
      <c r="F92" s="27">
        <v>100</v>
      </c>
      <c r="G92" s="48">
        <v>2221.6381335252136</v>
      </c>
      <c r="I92" s="7">
        <v>1.4229619543969236</v>
      </c>
      <c r="K92" s="34">
        <v>3.1613065404437717</v>
      </c>
      <c r="L92" s="7">
        <v>16.7</v>
      </c>
      <c r="M92" s="48">
        <v>119.42416666666666</v>
      </c>
      <c r="O92" s="36">
        <f t="shared" si="1"/>
        <v>0.026471246387404324</v>
      </c>
    </row>
    <row r="93" spans="1:15" ht="13.5" customHeight="1">
      <c r="A93" s="27" t="s">
        <v>164</v>
      </c>
      <c r="B93" s="47">
        <v>33726</v>
      </c>
      <c r="D93" s="2">
        <v>2</v>
      </c>
      <c r="E93" s="2">
        <v>140</v>
      </c>
      <c r="F93" s="27">
        <v>100</v>
      </c>
      <c r="G93" s="48">
        <v>2753.1618553920543</v>
      </c>
      <c r="I93" s="7">
        <v>1.2761872627303728</v>
      </c>
      <c r="K93" s="34">
        <v>3.51355009208646</v>
      </c>
      <c r="L93" s="7">
        <v>16.5</v>
      </c>
      <c r="M93" s="48">
        <v>80.38833333333332</v>
      </c>
      <c r="O93" s="36">
        <f t="shared" si="1"/>
        <v>0.043707214049548575</v>
      </c>
    </row>
    <row r="94" spans="1:15" ht="13.5" customHeight="1">
      <c r="A94" s="27" t="s">
        <v>164</v>
      </c>
      <c r="B94" s="47">
        <v>33725</v>
      </c>
      <c r="D94" s="2">
        <v>1</v>
      </c>
      <c r="E94" s="2">
        <v>140</v>
      </c>
      <c r="F94" s="27">
        <v>100</v>
      </c>
      <c r="G94" s="48">
        <v>4202.135386153654</v>
      </c>
      <c r="I94" s="7">
        <v>1.6905903021579463</v>
      </c>
      <c r="K94" s="34">
        <v>7.104089332186103</v>
      </c>
      <c r="L94" s="7">
        <v>17.6</v>
      </c>
      <c r="M94" s="48">
        <v>35.56083333333333</v>
      </c>
      <c r="O94" s="36">
        <f t="shared" si="1"/>
        <v>0.19977285868402325</v>
      </c>
    </row>
    <row r="95" spans="1:15" ht="13.5" customHeight="1">
      <c r="A95" s="27" t="s">
        <v>164</v>
      </c>
      <c r="B95" s="47">
        <v>33724</v>
      </c>
      <c r="D95" s="2">
        <v>0</v>
      </c>
      <c r="E95" s="2">
        <v>140</v>
      </c>
      <c r="F95" s="27">
        <v>100</v>
      </c>
      <c r="G95" s="48">
        <v>2721.4451983975655</v>
      </c>
      <c r="I95" s="7">
        <v>1.7731477841680865</v>
      </c>
      <c r="K95" s="34">
        <v>4.825524523273521</v>
      </c>
      <c r="L95" s="7">
        <v>20.2</v>
      </c>
      <c r="M95" s="48">
        <v>98.92166666666665</v>
      </c>
      <c r="O95" s="36">
        <f t="shared" si="1"/>
        <v>0.04878126992677898</v>
      </c>
    </row>
    <row r="96" spans="1:15" ht="13.5" customHeight="1">
      <c r="A96" s="27" t="s">
        <v>164</v>
      </c>
      <c r="B96" s="47">
        <v>33723</v>
      </c>
      <c r="D96" s="2">
        <v>-1</v>
      </c>
      <c r="E96" s="2">
        <v>140</v>
      </c>
      <c r="F96" s="27">
        <v>100</v>
      </c>
      <c r="G96" s="48">
        <v>2487.9333211475046</v>
      </c>
      <c r="I96" s="7">
        <v>1.4588315517414292</v>
      </c>
      <c r="K96" s="34">
        <v>3.6294756275188216</v>
      </c>
      <c r="L96" s="7">
        <v>17.9</v>
      </c>
      <c r="M96" s="48">
        <v>81.77833333333332</v>
      </c>
      <c r="O96" s="36">
        <f t="shared" si="1"/>
        <v>0.044381873285737734</v>
      </c>
    </row>
    <row r="97" spans="1:15" ht="13.5" customHeight="1">
      <c r="A97" s="27" t="s">
        <v>164</v>
      </c>
      <c r="B97" s="47">
        <v>33722</v>
      </c>
      <c r="D97" s="2">
        <v>-2</v>
      </c>
      <c r="E97" s="2">
        <v>140</v>
      </c>
      <c r="F97" s="27">
        <v>100</v>
      </c>
      <c r="G97" s="48">
        <v>2409.557442614215</v>
      </c>
      <c r="I97" s="7">
        <v>1.1321457697467008</v>
      </c>
      <c r="K97" s="34">
        <v>2.727970265617362</v>
      </c>
      <c r="L97" s="7">
        <v>13.8</v>
      </c>
      <c r="M97" s="48">
        <v>39.38333333333333</v>
      </c>
      <c r="O97" s="36">
        <f t="shared" si="1"/>
        <v>0.06926712481466006</v>
      </c>
    </row>
    <row r="98" spans="1:15" ht="13.5" customHeight="1">
      <c r="A98" s="27" t="s">
        <v>164</v>
      </c>
      <c r="B98" s="47">
        <v>33721</v>
      </c>
      <c r="D98" s="2">
        <v>-5</v>
      </c>
      <c r="E98" s="2">
        <v>140</v>
      </c>
      <c r="F98" s="27">
        <v>100</v>
      </c>
      <c r="G98" s="48">
        <v>1727.7989182935698</v>
      </c>
      <c r="I98" s="7">
        <v>0.823164078858472</v>
      </c>
      <c r="K98" s="34">
        <v>1.4222620050297907</v>
      </c>
      <c r="L98" s="7">
        <v>12.3</v>
      </c>
      <c r="M98" s="48">
        <v>36.95083333333333</v>
      </c>
      <c r="O98" s="36">
        <f t="shared" si="1"/>
        <v>0.038490661149630116</v>
      </c>
    </row>
    <row r="99" spans="1:15" ht="13.5" customHeight="1">
      <c r="A99" s="27" t="s">
        <v>164</v>
      </c>
      <c r="B99" s="47">
        <v>33720</v>
      </c>
      <c r="D99" s="2">
        <v>-7</v>
      </c>
      <c r="E99" s="2">
        <v>140</v>
      </c>
      <c r="F99" s="27">
        <v>100</v>
      </c>
      <c r="G99" s="48">
        <v>1351.727880941955</v>
      </c>
      <c r="I99" s="7">
        <v>0.6446626994957735</v>
      </c>
      <c r="K99" s="34">
        <v>0.8714085447117421</v>
      </c>
      <c r="L99" s="7">
        <v>13.1</v>
      </c>
      <c r="M99" s="48">
        <v>70.89</v>
      </c>
      <c r="O99" s="36">
        <f t="shared" si="1"/>
        <v>0.012292404354799578</v>
      </c>
    </row>
    <row r="100" spans="1:15" ht="13.5" customHeight="1">
      <c r="A100" s="27" t="s">
        <v>164</v>
      </c>
      <c r="B100" s="47">
        <v>33682</v>
      </c>
      <c r="D100" s="2">
        <v>5</v>
      </c>
      <c r="E100" s="2">
        <v>125</v>
      </c>
      <c r="F100" s="27">
        <v>100</v>
      </c>
      <c r="G100" s="48">
        <v>2148.062377194407</v>
      </c>
      <c r="I100" s="7">
        <v>2.5190096858391495</v>
      </c>
      <c r="K100" s="34">
        <v>5.41098993393938</v>
      </c>
      <c r="L100" s="7">
        <v>15.8</v>
      </c>
      <c r="M100" s="48">
        <v>88.265</v>
      </c>
      <c r="O100" s="36">
        <f t="shared" si="1"/>
        <v>0.061303913600400835</v>
      </c>
    </row>
    <row r="101" spans="1:15" ht="13.5" customHeight="1">
      <c r="A101" s="27" t="s">
        <v>164</v>
      </c>
      <c r="B101" s="47">
        <v>33680</v>
      </c>
      <c r="D101" s="2">
        <v>0</v>
      </c>
      <c r="E101" s="2">
        <v>125</v>
      </c>
      <c r="F101" s="27">
        <v>100</v>
      </c>
      <c r="G101" s="48">
        <v>2140.291217910333</v>
      </c>
      <c r="I101" s="7">
        <v>1.8646980741255366</v>
      </c>
      <c r="K101" s="34">
        <v>3.990996912105197</v>
      </c>
      <c r="L101" s="7">
        <v>14.7</v>
      </c>
      <c r="M101" s="48">
        <v>52.58833333333333</v>
      </c>
      <c r="O101" s="36">
        <f t="shared" si="1"/>
        <v>0.07589129868041448</v>
      </c>
    </row>
    <row r="102" spans="1:15" ht="13.5" customHeight="1">
      <c r="A102" s="27" t="s">
        <v>164</v>
      </c>
      <c r="B102" s="47">
        <v>33679</v>
      </c>
      <c r="D102" s="2">
        <v>-1</v>
      </c>
      <c r="E102" s="2">
        <v>125</v>
      </c>
      <c r="F102" s="27">
        <v>100</v>
      </c>
      <c r="G102" s="48">
        <v>2080.7899133351193</v>
      </c>
      <c r="I102" s="7">
        <v>3.464830594742257</v>
      </c>
      <c r="K102" s="34">
        <v>7.2095845529546105</v>
      </c>
      <c r="L102" s="7">
        <v>13.3</v>
      </c>
      <c r="M102" s="48">
        <v>66.95166666666667</v>
      </c>
      <c r="O102" s="36">
        <f t="shared" si="1"/>
        <v>0.10768342166669403</v>
      </c>
    </row>
    <row r="103" spans="1:15" ht="13.5" customHeight="1">
      <c r="A103" s="27" t="s">
        <v>164</v>
      </c>
      <c r="B103" s="47">
        <v>33679</v>
      </c>
      <c r="D103" s="2">
        <v>-2</v>
      </c>
      <c r="E103" s="2">
        <v>125</v>
      </c>
      <c r="F103" s="27">
        <v>100</v>
      </c>
      <c r="G103" s="48">
        <v>1378.637680419492</v>
      </c>
      <c r="I103" s="7">
        <v>1.4709742382971018</v>
      </c>
      <c r="K103" s="34">
        <v>2.0279405118427456</v>
      </c>
      <c r="L103" s="7">
        <v>12</v>
      </c>
      <c r="M103" s="48">
        <v>39.38333333333333</v>
      </c>
      <c r="O103" s="36">
        <f t="shared" si="1"/>
        <v>0.05149235324188097</v>
      </c>
    </row>
    <row r="104" spans="1:15" ht="13.5" customHeight="1">
      <c r="A104" s="27" t="s">
        <v>164</v>
      </c>
      <c r="B104" s="47">
        <v>33678</v>
      </c>
      <c r="D104" s="2">
        <v>-5</v>
      </c>
      <c r="E104" s="2">
        <v>125</v>
      </c>
      <c r="F104" s="27">
        <v>100</v>
      </c>
      <c r="G104" s="48">
        <v>1209.5474193899208</v>
      </c>
      <c r="I104" s="7">
        <v>1.201809053094999</v>
      </c>
      <c r="K104" s="34">
        <v>1.4536450387705004</v>
      </c>
      <c r="L104" s="7">
        <v>10.97</v>
      </c>
      <c r="M104" s="48">
        <v>36.4875</v>
      </c>
      <c r="O104" s="36">
        <f t="shared" si="1"/>
        <v>0.03983953514958549</v>
      </c>
    </row>
    <row r="105" spans="1:15" ht="13.5" customHeight="1">
      <c r="A105" s="27" t="s">
        <v>164</v>
      </c>
      <c r="B105" s="47">
        <v>33677</v>
      </c>
      <c r="D105" s="2">
        <v>-8</v>
      </c>
      <c r="E105" s="2">
        <v>125</v>
      </c>
      <c r="F105" s="27">
        <v>100</v>
      </c>
      <c r="G105" s="48">
        <v>1030.8680871997408</v>
      </c>
      <c r="I105" s="7">
        <v>1.1549735582131828</v>
      </c>
      <c r="K105" s="34">
        <v>1.1906253827215023</v>
      </c>
      <c r="L105" s="7">
        <v>9.9</v>
      </c>
      <c r="M105" s="48">
        <v>37.1825</v>
      </c>
      <c r="O105" s="36">
        <f t="shared" si="1"/>
        <v>0.032021122375351374</v>
      </c>
    </row>
    <row r="106" spans="1:15" ht="13.5" customHeight="1">
      <c r="A106" s="27" t="s">
        <v>164</v>
      </c>
      <c r="B106" s="47">
        <v>33665</v>
      </c>
      <c r="D106" s="2">
        <v>10</v>
      </c>
      <c r="E106" s="2">
        <v>110</v>
      </c>
      <c r="F106" s="27">
        <v>100</v>
      </c>
      <c r="G106" s="48">
        <v>912.8335972375387</v>
      </c>
      <c r="I106" s="7">
        <v>1.59577465099808</v>
      </c>
      <c r="K106" s="34">
        <v>1.4566767150510551</v>
      </c>
      <c r="L106" s="7">
        <v>12.4</v>
      </c>
      <c r="M106" s="48">
        <v>40.07833333333333</v>
      </c>
      <c r="O106" s="36">
        <f t="shared" si="1"/>
        <v>0.03634574080054198</v>
      </c>
    </row>
    <row r="107" spans="1:15" ht="13.5" customHeight="1">
      <c r="A107" s="27" t="s">
        <v>164</v>
      </c>
      <c r="B107" s="47">
        <v>33666</v>
      </c>
      <c r="D107" s="2">
        <v>8</v>
      </c>
      <c r="E107" s="2">
        <v>110</v>
      </c>
      <c r="F107" s="27">
        <v>100</v>
      </c>
      <c r="G107" s="48">
        <v>1567.7513565042236</v>
      </c>
      <c r="I107" s="7">
        <v>2.686942887059286</v>
      </c>
      <c r="K107" s="34">
        <v>4.212458356036571</v>
      </c>
      <c r="L107" s="7">
        <v>16</v>
      </c>
      <c r="M107" s="48">
        <v>69.61583333333333</v>
      </c>
      <c r="O107" s="36">
        <f t="shared" si="1"/>
        <v>0.06051006149515658</v>
      </c>
    </row>
    <row r="108" spans="1:15" ht="13.5" customHeight="1">
      <c r="A108" s="27" t="s">
        <v>164</v>
      </c>
      <c r="B108" s="47">
        <v>33668</v>
      </c>
      <c r="D108" s="2">
        <v>2</v>
      </c>
      <c r="E108" s="2">
        <v>110</v>
      </c>
      <c r="F108" s="27">
        <v>100</v>
      </c>
      <c r="G108" s="48">
        <v>812.4382648676253</v>
      </c>
      <c r="I108" s="7">
        <v>1.6598705981344946</v>
      </c>
      <c r="K108" s="34">
        <v>1.3485423886531762</v>
      </c>
      <c r="L108" s="7">
        <v>17.4</v>
      </c>
      <c r="M108" s="48">
        <v>116.52833333333332</v>
      </c>
      <c r="O108" s="36">
        <f t="shared" si="1"/>
        <v>0.01157265662416731</v>
      </c>
    </row>
    <row r="109" spans="1:15" ht="13.5" customHeight="1">
      <c r="A109" s="27" t="s">
        <v>164</v>
      </c>
      <c r="B109" s="47">
        <v>33669</v>
      </c>
      <c r="D109" s="2">
        <v>1</v>
      </c>
      <c r="E109" s="2">
        <v>110</v>
      </c>
      <c r="F109" s="27">
        <v>100</v>
      </c>
      <c r="G109" s="48">
        <v>784.4003908862838</v>
      </c>
      <c r="I109" s="7">
        <v>1.5465502416468013</v>
      </c>
      <c r="K109" s="34">
        <v>1.2131146140730278</v>
      </c>
      <c r="L109" s="7">
        <v>14.7</v>
      </c>
      <c r="M109" s="48">
        <v>97.41583333333332</v>
      </c>
      <c r="O109" s="36">
        <f t="shared" si="1"/>
        <v>0.012452951153454123</v>
      </c>
    </row>
    <row r="110" spans="1:15" ht="13.5" customHeight="1">
      <c r="A110" s="27" t="s">
        <v>164</v>
      </c>
      <c r="B110" s="47">
        <v>33669</v>
      </c>
      <c r="D110" s="2">
        <v>0</v>
      </c>
      <c r="E110" s="2">
        <v>110</v>
      </c>
      <c r="F110" s="27">
        <v>100</v>
      </c>
      <c r="G110" s="48">
        <v>1295.8553273486814</v>
      </c>
      <c r="I110" s="7">
        <v>1.242663586226885</v>
      </c>
      <c r="K110" s="34">
        <v>1.6103122283143265</v>
      </c>
      <c r="L110" s="7">
        <v>12.9</v>
      </c>
      <c r="M110" s="48">
        <v>33.82333333333333</v>
      </c>
      <c r="O110" s="36">
        <f t="shared" si="1"/>
        <v>0.04760950709513137</v>
      </c>
    </row>
    <row r="111" spans="1:15" ht="13.5" customHeight="1">
      <c r="A111" s="27" t="s">
        <v>164</v>
      </c>
      <c r="B111" s="47">
        <v>33670</v>
      </c>
      <c r="D111" s="2">
        <v>-1</v>
      </c>
      <c r="E111" s="2">
        <v>110</v>
      </c>
      <c r="F111" s="27">
        <v>100</v>
      </c>
      <c r="G111" s="48">
        <v>1048.9664965301092</v>
      </c>
      <c r="I111" s="7">
        <v>1.0920155840820545</v>
      </c>
      <c r="K111" s="34">
        <v>1.1454877613908336</v>
      </c>
      <c r="L111" s="7">
        <v>15.4</v>
      </c>
      <c r="M111" s="48">
        <v>45.406666666666666</v>
      </c>
      <c r="O111" s="36">
        <f t="shared" si="1"/>
        <v>0.02522730351029585</v>
      </c>
    </row>
    <row r="112" spans="1:15" ht="13.5" customHeight="1">
      <c r="A112" s="27" t="s">
        <v>164</v>
      </c>
      <c r="B112" s="47">
        <v>33670</v>
      </c>
      <c r="D112" s="2">
        <v>-2</v>
      </c>
      <c r="E112" s="2">
        <v>110</v>
      </c>
      <c r="F112" s="27">
        <v>100</v>
      </c>
      <c r="G112" s="48">
        <v>1100.9475712129895</v>
      </c>
      <c r="I112" s="7">
        <v>1.3628144681517567</v>
      </c>
      <c r="K112" s="34">
        <v>1.5003872787255985</v>
      </c>
      <c r="L112" s="7">
        <v>15.1</v>
      </c>
      <c r="M112" s="48">
        <v>38.92</v>
      </c>
      <c r="O112" s="36">
        <f t="shared" si="1"/>
        <v>0.0385505467298458</v>
      </c>
    </row>
    <row r="113" spans="1:15" ht="13.5" customHeight="1">
      <c r="A113" s="27" t="s">
        <v>164</v>
      </c>
      <c r="B113" s="47">
        <v>33671</v>
      </c>
      <c r="D113" s="2">
        <v>-5</v>
      </c>
      <c r="E113" s="2">
        <v>110</v>
      </c>
      <c r="F113" s="27">
        <v>100</v>
      </c>
      <c r="G113" s="48">
        <v>1354.4909970964716</v>
      </c>
      <c r="I113" s="7">
        <v>1.2936406357426193</v>
      </c>
      <c r="K113" s="34">
        <v>1.7522245945915338</v>
      </c>
      <c r="L113" s="7">
        <v>11.6</v>
      </c>
      <c r="M113" s="48">
        <v>35.90833333333333</v>
      </c>
      <c r="O113" s="36">
        <f t="shared" si="1"/>
        <v>0.04879715742654538</v>
      </c>
    </row>
    <row r="114" spans="1:15" ht="13.5" customHeight="1">
      <c r="A114" s="27" t="s">
        <v>164</v>
      </c>
      <c r="B114" s="47">
        <v>33674</v>
      </c>
      <c r="D114" s="2">
        <v>-8</v>
      </c>
      <c r="E114" s="2">
        <v>110</v>
      </c>
      <c r="F114" s="27">
        <v>100</v>
      </c>
      <c r="G114" s="48">
        <v>1064.769514235983</v>
      </c>
      <c r="I114" s="7">
        <v>1.4532207797906396</v>
      </c>
      <c r="K114" s="34">
        <v>1.5473451837753158</v>
      </c>
      <c r="L114" s="7">
        <v>11.8</v>
      </c>
      <c r="M114" s="48">
        <v>30.000833333333333</v>
      </c>
      <c r="O114" s="36">
        <f t="shared" si="1"/>
        <v>0.05157674010528538</v>
      </c>
    </row>
    <row r="115" spans="1:15" ht="13.5" customHeight="1">
      <c r="A115" s="27"/>
      <c r="B115" s="47"/>
      <c r="F115" s="27"/>
      <c r="G115" s="48"/>
      <c r="I115" s="7"/>
      <c r="K115" s="34"/>
      <c r="M115" s="48"/>
      <c r="O115" s="36"/>
    </row>
    <row r="116" spans="1:15" ht="13.5" customHeight="1">
      <c r="A116" s="27" t="s">
        <v>164</v>
      </c>
      <c r="B116" s="47">
        <v>33940</v>
      </c>
      <c r="D116" s="2">
        <v>3</v>
      </c>
      <c r="E116" s="2">
        <v>95</v>
      </c>
      <c r="F116" s="27">
        <v>100</v>
      </c>
      <c r="G116" s="48">
        <v>843.0882032352079</v>
      </c>
      <c r="I116" s="7">
        <v>1.65951396209146</v>
      </c>
      <c r="K116" s="34">
        <v>1.3991166445434298</v>
      </c>
      <c r="L116" s="7">
        <v>13.5</v>
      </c>
      <c r="M116" s="48">
        <v>63.47666666666666</v>
      </c>
      <c r="O116" s="36">
        <f t="shared" si="1"/>
        <v>0.022041432198867245</v>
      </c>
    </row>
    <row r="117" spans="1:15" ht="13.5" customHeight="1">
      <c r="A117" s="27" t="s">
        <v>164</v>
      </c>
      <c r="B117" s="47">
        <v>33922</v>
      </c>
      <c r="D117" s="2">
        <v>0</v>
      </c>
      <c r="E117" s="2">
        <v>95</v>
      </c>
      <c r="F117" s="27">
        <v>100</v>
      </c>
      <c r="G117" s="48">
        <v>1347.8304271362879</v>
      </c>
      <c r="I117" s="7">
        <v>1.6301832830248562</v>
      </c>
      <c r="K117" s="34">
        <v>2.197210630669828</v>
      </c>
      <c r="L117" s="7">
        <v>24.55</v>
      </c>
      <c r="M117" s="48">
        <v>69.26833333333333</v>
      </c>
      <c r="O117" s="36">
        <f t="shared" si="1"/>
        <v>0.03172027570082281</v>
      </c>
    </row>
    <row r="118" spans="1:15" ht="13.5" customHeight="1">
      <c r="A118" s="27" t="s">
        <v>164</v>
      </c>
      <c r="B118" s="47">
        <v>33939</v>
      </c>
      <c r="D118" s="2">
        <v>-1</v>
      </c>
      <c r="E118" s="2">
        <v>95</v>
      </c>
      <c r="F118" s="27">
        <v>100</v>
      </c>
      <c r="G118" s="48">
        <v>1637.1467479230748</v>
      </c>
      <c r="I118" s="7">
        <v>2.534630557390012</v>
      </c>
      <c r="K118" s="34">
        <v>4.149562174217508</v>
      </c>
      <c r="L118" s="7">
        <v>20.77</v>
      </c>
      <c r="M118" s="48">
        <v>98.45833333333333</v>
      </c>
      <c r="O118" s="36">
        <f t="shared" si="1"/>
        <v>0.042145362751256965</v>
      </c>
    </row>
    <row r="119" spans="1:15" ht="13.5" customHeight="1">
      <c r="A119" s="27" t="s">
        <v>164</v>
      </c>
      <c r="B119" s="47">
        <v>33938</v>
      </c>
      <c r="D119" s="2">
        <v>-2</v>
      </c>
      <c r="E119" s="2">
        <v>95</v>
      </c>
      <c r="F119" s="27">
        <v>100</v>
      </c>
      <c r="G119" s="48">
        <v>1071.447233437024</v>
      </c>
      <c r="I119" s="7">
        <v>2.176971140061165</v>
      </c>
      <c r="K119" s="34">
        <v>2.332509705290779</v>
      </c>
      <c r="L119" s="7">
        <v>17.93</v>
      </c>
      <c r="M119" s="48">
        <v>70.65833333333333</v>
      </c>
      <c r="O119" s="36">
        <f t="shared" si="1"/>
        <v>0.033011105629778686</v>
      </c>
    </row>
    <row r="120" spans="1:15" ht="13.5" customHeight="1">
      <c r="A120" s="27" t="s">
        <v>164</v>
      </c>
      <c r="B120" s="47">
        <v>33938</v>
      </c>
      <c r="D120" s="2">
        <v>-3</v>
      </c>
      <c r="E120" s="2">
        <v>95</v>
      </c>
      <c r="F120" s="27">
        <v>100</v>
      </c>
      <c r="G120" s="48">
        <v>1215.103195545992</v>
      </c>
      <c r="I120" s="7">
        <v>2.411804882498985</v>
      </c>
      <c r="K120" s="34">
        <v>2.9305918197579426</v>
      </c>
      <c r="L120" s="7">
        <v>18.75</v>
      </c>
      <c r="M120" s="48">
        <v>80.62</v>
      </c>
      <c r="O120" s="36">
        <f t="shared" si="1"/>
        <v>0.03635067997715136</v>
      </c>
    </row>
    <row r="121" spans="1:15" ht="13.5" customHeight="1">
      <c r="A121" s="27" t="s">
        <v>164</v>
      </c>
      <c r="B121" s="47">
        <v>33857</v>
      </c>
      <c r="D121" s="2">
        <v>10</v>
      </c>
      <c r="E121" s="2">
        <v>140</v>
      </c>
      <c r="F121" s="27">
        <v>100</v>
      </c>
      <c r="G121" s="48">
        <v>1165.696997231344</v>
      </c>
      <c r="I121" s="7">
        <v>1.041328449604567</v>
      </c>
      <c r="K121" s="34">
        <v>1.2138734468356147</v>
      </c>
      <c r="L121" s="7">
        <v>7.65</v>
      </c>
      <c r="M121" s="48">
        <v>33.7075</v>
      </c>
      <c r="O121" s="36">
        <f t="shared" si="1"/>
        <v>0.036011969052454636</v>
      </c>
    </row>
    <row r="122" spans="1:15" ht="13.5" customHeight="1">
      <c r="A122" s="27" t="s">
        <v>164</v>
      </c>
      <c r="B122" s="47">
        <v>33864</v>
      </c>
      <c r="D122" s="2">
        <v>-5</v>
      </c>
      <c r="E122" s="2">
        <v>140</v>
      </c>
      <c r="F122" s="27">
        <v>100</v>
      </c>
      <c r="G122" s="48">
        <v>1467.5187221978445</v>
      </c>
      <c r="I122" s="7">
        <v>1.3057974023724497</v>
      </c>
      <c r="K122" s="34">
        <v>1.9162821353788817</v>
      </c>
      <c r="L122" s="7">
        <v>14.56</v>
      </c>
      <c r="M122" s="48">
        <v>62.08666666666666</v>
      </c>
      <c r="O122" s="36">
        <f t="shared" si="1"/>
        <v>0.030864632267457563</v>
      </c>
    </row>
    <row r="123" spans="1:15" ht="13.5" customHeight="1">
      <c r="A123" s="27" t="s">
        <v>164</v>
      </c>
      <c r="B123" s="47">
        <v>33864</v>
      </c>
      <c r="D123" s="2">
        <v>-7</v>
      </c>
      <c r="E123" s="2">
        <v>140</v>
      </c>
      <c r="F123" s="27">
        <v>100</v>
      </c>
      <c r="G123" s="48">
        <v>2015.0949023885278</v>
      </c>
      <c r="I123" s="7">
        <v>1.3637347464376144</v>
      </c>
      <c r="K123" s="34">
        <v>2.7480549357565485</v>
      </c>
      <c r="L123" s="7">
        <v>16.28</v>
      </c>
      <c r="M123" s="48">
        <v>75.98666666666666</v>
      </c>
      <c r="O123" s="36">
        <f t="shared" si="1"/>
        <v>0.03616496230597318</v>
      </c>
    </row>
    <row r="124" spans="1:15" ht="13.5" customHeight="1">
      <c r="A124" s="27" t="s">
        <v>164</v>
      </c>
      <c r="B124" s="47">
        <v>33879</v>
      </c>
      <c r="D124" s="2">
        <v>10</v>
      </c>
      <c r="E124" s="2">
        <v>125</v>
      </c>
      <c r="F124" s="27">
        <v>100</v>
      </c>
      <c r="G124" s="48">
        <v>1557.9708199832905</v>
      </c>
      <c r="I124" s="7">
        <v>1.3480695959776892</v>
      </c>
      <c r="K124" s="34">
        <v>2.1002530938399038</v>
      </c>
      <c r="L124" s="7">
        <v>19.28</v>
      </c>
      <c r="M124" s="48">
        <v>60.23333333333333</v>
      </c>
      <c r="O124" s="36">
        <f t="shared" si="1"/>
        <v>0.03486861804936199</v>
      </c>
    </row>
    <row r="125" spans="1:15" ht="13.5" customHeight="1">
      <c r="A125" s="27" t="s">
        <v>164</v>
      </c>
      <c r="B125" s="47">
        <v>33878</v>
      </c>
      <c r="D125" s="2">
        <v>9</v>
      </c>
      <c r="E125" s="2">
        <v>125</v>
      </c>
      <c r="F125" s="27">
        <v>100</v>
      </c>
      <c r="G125" s="48">
        <v>1289.3274191422015</v>
      </c>
      <c r="I125" s="7">
        <v>0.5675396262089494</v>
      </c>
      <c r="K125" s="34">
        <v>0.7317444015209145</v>
      </c>
      <c r="L125" s="7">
        <v>13.75</v>
      </c>
      <c r="M125" s="48">
        <v>37.1825</v>
      </c>
      <c r="O125" s="36">
        <f t="shared" si="1"/>
        <v>0.019679806401423104</v>
      </c>
    </row>
    <row r="126" spans="1:15" ht="13.5" customHeight="1">
      <c r="A126" s="27" t="s">
        <v>164</v>
      </c>
      <c r="B126" s="47">
        <v>33878</v>
      </c>
      <c r="D126" s="2">
        <v>8</v>
      </c>
      <c r="E126" s="2">
        <v>125</v>
      </c>
      <c r="F126" s="27">
        <v>100</v>
      </c>
      <c r="G126" s="48">
        <v>1386.5450887876514</v>
      </c>
      <c r="I126" s="7">
        <v>0.6102108874629444</v>
      </c>
      <c r="K126" s="34">
        <v>0.8460849091364997</v>
      </c>
      <c r="L126" s="7">
        <v>9.79</v>
      </c>
      <c r="M126" s="48">
        <v>40.19416666666666</v>
      </c>
      <c r="O126" s="36">
        <f t="shared" si="1"/>
        <v>0.021049942797748425</v>
      </c>
    </row>
    <row r="127" spans="1:15" ht="13.5" customHeight="1">
      <c r="A127" s="27" t="s">
        <v>164</v>
      </c>
      <c r="B127" s="47">
        <v>33876</v>
      </c>
      <c r="D127" s="2">
        <v>5</v>
      </c>
      <c r="E127" s="2">
        <v>125</v>
      </c>
      <c r="F127" s="27">
        <v>100</v>
      </c>
      <c r="G127" s="48">
        <v>3297.917757821177</v>
      </c>
      <c r="I127" s="7">
        <v>0.6903383753312553</v>
      </c>
      <c r="K127" s="34">
        <v>2.2766791869103677</v>
      </c>
      <c r="L127" s="7">
        <v>15.68</v>
      </c>
      <c r="M127" s="48">
        <v>65.21416666666666</v>
      </c>
      <c r="O127" s="36">
        <f t="shared" si="1"/>
        <v>0.034910807011416765</v>
      </c>
    </row>
    <row r="128" spans="1:15" ht="13.5" customHeight="1">
      <c r="A128" s="27" t="s">
        <v>164</v>
      </c>
      <c r="B128" s="47">
        <v>33875</v>
      </c>
      <c r="D128" s="2">
        <v>2</v>
      </c>
      <c r="E128" s="2">
        <v>125</v>
      </c>
      <c r="F128" s="27">
        <v>100</v>
      </c>
      <c r="G128" s="48">
        <v>1880.8743402399846</v>
      </c>
      <c r="I128" s="7">
        <v>1.5339676647578981</v>
      </c>
      <c r="K128" s="34">
        <v>2.8852004194009813</v>
      </c>
      <c r="L128" s="7">
        <v>13.97</v>
      </c>
      <c r="M128" s="48">
        <v>86.64333333333333</v>
      </c>
      <c r="O128" s="36">
        <f t="shared" si="1"/>
        <v>0.033299739384460986</v>
      </c>
    </row>
    <row r="129" spans="1:15" ht="13.5" customHeight="1">
      <c r="A129" s="27" t="s">
        <v>164</v>
      </c>
      <c r="B129" s="47">
        <v>33874</v>
      </c>
      <c r="D129" s="2">
        <v>1</v>
      </c>
      <c r="E129" s="2">
        <v>125</v>
      </c>
      <c r="F129" s="27">
        <v>100</v>
      </c>
      <c r="G129" s="48">
        <v>3270.8435970970727</v>
      </c>
      <c r="I129" s="7">
        <v>0.7667687552319477</v>
      </c>
      <c r="K129" s="34">
        <v>2.5079806735045085</v>
      </c>
      <c r="L129" s="7">
        <v>15.99</v>
      </c>
      <c r="M129" s="48">
        <v>56.99</v>
      </c>
      <c r="O129" s="36">
        <f t="shared" si="1"/>
        <v>0.0440073815319268</v>
      </c>
    </row>
    <row r="130" spans="1:15" ht="13.5" customHeight="1">
      <c r="A130" s="27" t="s">
        <v>164</v>
      </c>
      <c r="B130" s="47">
        <v>33873</v>
      </c>
      <c r="D130" s="2">
        <v>0</v>
      </c>
      <c r="E130" s="2">
        <v>125</v>
      </c>
      <c r="F130" s="27">
        <v>100</v>
      </c>
      <c r="G130" s="48">
        <v>1160.2159670800027</v>
      </c>
      <c r="I130" s="7">
        <v>1.358232414128371</v>
      </c>
      <c r="K130" s="34">
        <v>1.5758429338773547</v>
      </c>
      <c r="L130" s="7">
        <v>22.41</v>
      </c>
      <c r="M130" s="48">
        <v>60.34916666666666</v>
      </c>
      <c r="O130" s="36">
        <f t="shared" si="1"/>
        <v>0.026112091034850328</v>
      </c>
    </row>
    <row r="131" spans="1:15" ht="13.5" customHeight="1">
      <c r="A131" s="27" t="s">
        <v>164</v>
      </c>
      <c r="B131" s="47">
        <v>33872</v>
      </c>
      <c r="D131" s="2">
        <v>-1</v>
      </c>
      <c r="E131" s="2">
        <v>125</v>
      </c>
      <c r="F131" s="27">
        <v>100</v>
      </c>
      <c r="G131" s="48">
        <v>2156.167736569969</v>
      </c>
      <c r="I131" s="7">
        <v>1.4771442397261931</v>
      </c>
      <c r="K131" s="34">
        <v>3.1849707519577932</v>
      </c>
      <c r="L131" s="7">
        <v>18.25</v>
      </c>
      <c r="M131" s="48">
        <v>57.80083333333333</v>
      </c>
      <c r="O131" s="36">
        <f t="shared" si="1"/>
        <v>0.0551025057647576</v>
      </c>
    </row>
    <row r="132" spans="1:15" ht="13.5" customHeight="1">
      <c r="A132" s="27" t="s">
        <v>164</v>
      </c>
      <c r="B132" s="47">
        <v>33871</v>
      </c>
      <c r="D132" s="2">
        <v>-2</v>
      </c>
      <c r="E132" s="2">
        <v>125</v>
      </c>
      <c r="F132" s="27">
        <v>100</v>
      </c>
      <c r="G132" s="48">
        <v>3241.7184410570976</v>
      </c>
      <c r="I132" s="7">
        <v>1.2323234105725733</v>
      </c>
      <c r="K132" s="34">
        <v>3.994845525399488</v>
      </c>
      <c r="L132" s="7">
        <v>14.11</v>
      </c>
      <c r="M132" s="48">
        <v>65.90916666666666</v>
      </c>
      <c r="O132" s="36">
        <f t="shared" si="1"/>
        <v>0.06061137968263628</v>
      </c>
    </row>
    <row r="133" spans="1:15" ht="13.5" customHeight="1">
      <c r="A133" s="27" t="s">
        <v>164</v>
      </c>
      <c r="B133" s="47">
        <v>33870</v>
      </c>
      <c r="D133" s="2">
        <v>-5</v>
      </c>
      <c r="E133" s="2">
        <v>125</v>
      </c>
      <c r="F133" s="27">
        <v>100</v>
      </c>
      <c r="G133" s="48">
        <v>2048.2528288979934</v>
      </c>
      <c r="I133" s="7">
        <v>1.41768144427638</v>
      </c>
      <c r="K133" s="34">
        <v>2.9037700287152886</v>
      </c>
      <c r="L133" s="7">
        <v>12.81</v>
      </c>
      <c r="M133" s="48">
        <v>90.11833333333333</v>
      </c>
      <c r="O133" s="36">
        <f t="shared" si="1"/>
        <v>0.03222174580143096</v>
      </c>
    </row>
    <row r="134" spans="1:15" ht="13.5" customHeight="1">
      <c r="A134" s="27" t="s">
        <v>164</v>
      </c>
      <c r="B134" s="47">
        <v>33868</v>
      </c>
      <c r="D134" s="2">
        <v>-8</v>
      </c>
      <c r="E134" s="2">
        <v>125</v>
      </c>
      <c r="F134" s="27">
        <v>100</v>
      </c>
      <c r="G134" s="48">
        <v>2359.056883432682</v>
      </c>
      <c r="I134" s="7">
        <v>0.8220529555557998</v>
      </c>
      <c r="K134" s="34">
        <v>1.93926968335009</v>
      </c>
      <c r="L134" s="7">
        <v>12.95</v>
      </c>
      <c r="M134" s="48">
        <v>76.56583333333333</v>
      </c>
      <c r="O134" s="36">
        <f t="shared" si="1"/>
        <v>0.025328133959012483</v>
      </c>
    </row>
    <row r="135" spans="1:15" ht="13.5" customHeight="1">
      <c r="A135" s="27" t="s">
        <v>164</v>
      </c>
      <c r="B135" s="47">
        <v>33867</v>
      </c>
      <c r="D135" s="2">
        <v>-10</v>
      </c>
      <c r="E135" s="2">
        <v>125</v>
      </c>
      <c r="F135" s="27">
        <v>100</v>
      </c>
      <c r="G135" s="48">
        <v>1889.0446019499154</v>
      </c>
      <c r="I135" s="7">
        <v>0.6367652780737157</v>
      </c>
      <c r="K135" s="34">
        <v>1.2028780112542896</v>
      </c>
      <c r="L135" s="7">
        <v>12.32</v>
      </c>
      <c r="M135" s="48">
        <v>48.41833333333333</v>
      </c>
      <c r="O135" s="36">
        <f t="shared" si="1"/>
        <v>0.0248434410778484</v>
      </c>
    </row>
    <row r="136" spans="1:15" ht="13.5" customHeight="1">
      <c r="A136" s="27" t="s">
        <v>164</v>
      </c>
      <c r="B136" s="47">
        <v>33894</v>
      </c>
      <c r="D136" s="2">
        <v>10</v>
      </c>
      <c r="E136" s="2">
        <v>110</v>
      </c>
      <c r="F136" s="27">
        <v>100</v>
      </c>
      <c r="G136" s="48">
        <v>1403.1405183421737</v>
      </c>
      <c r="I136" s="7">
        <v>2.3273071630523483</v>
      </c>
      <c r="K136" s="34">
        <v>3.2655389791067253</v>
      </c>
      <c r="L136" s="7">
        <v>15.56</v>
      </c>
      <c r="M136" s="48">
        <v>59.306666666666665</v>
      </c>
      <c r="O136" s="36">
        <f t="shared" si="1"/>
        <v>0.05506192073583732</v>
      </c>
    </row>
    <row r="137" spans="1:15" ht="13.5" customHeight="1">
      <c r="A137" s="27" t="s">
        <v>164</v>
      </c>
      <c r="B137" s="47">
        <v>33908</v>
      </c>
      <c r="D137" s="2">
        <v>8</v>
      </c>
      <c r="E137" s="2">
        <v>110</v>
      </c>
      <c r="F137" s="27">
        <v>100</v>
      </c>
      <c r="G137" s="48">
        <v>1903.9822621304645</v>
      </c>
      <c r="I137" s="7">
        <v>1.5464176144534476</v>
      </c>
      <c r="K137" s="34">
        <v>2.9443517077654713</v>
      </c>
      <c r="L137" s="7">
        <v>13.43</v>
      </c>
      <c r="M137" s="48">
        <v>50.96666666666666</v>
      </c>
      <c r="O137" s="36">
        <f t="shared" si="1"/>
        <v>0.05777014469127806</v>
      </c>
    </row>
    <row r="138" spans="1:15" ht="13.5" customHeight="1">
      <c r="A138" s="27" t="s">
        <v>164</v>
      </c>
      <c r="B138" s="47">
        <v>33909</v>
      </c>
      <c r="D138" s="2">
        <v>5</v>
      </c>
      <c r="E138" s="2">
        <v>110</v>
      </c>
      <c r="F138" s="27">
        <v>100</v>
      </c>
      <c r="G138" s="48">
        <v>3081.0299639787913</v>
      </c>
      <c r="I138" s="7">
        <v>1.5977831979037116</v>
      </c>
      <c r="K138" s="34">
        <v>4.92281790868319</v>
      </c>
      <c r="L138" s="7">
        <v>16.39</v>
      </c>
      <c r="M138" s="48">
        <v>89.42333333333333</v>
      </c>
      <c r="O138" s="36">
        <f t="shared" si="1"/>
        <v>0.05505070908431644</v>
      </c>
    </row>
    <row r="139" spans="1:15" ht="13.5" customHeight="1">
      <c r="A139" s="27" t="s">
        <v>164</v>
      </c>
      <c r="B139" s="47">
        <v>33911</v>
      </c>
      <c r="D139" s="2">
        <v>2</v>
      </c>
      <c r="E139" s="2">
        <v>110</v>
      </c>
      <c r="F139" s="27">
        <v>100</v>
      </c>
      <c r="G139" s="48">
        <v>1907.6405677299313</v>
      </c>
      <c r="I139" s="7">
        <v>1.5273808744335593</v>
      </c>
      <c r="K139" s="34">
        <v>2.913693718444274</v>
      </c>
      <c r="L139" s="7">
        <v>17.04</v>
      </c>
      <c r="M139" s="48">
        <v>88.03333333333333</v>
      </c>
      <c r="O139" s="36">
        <f t="shared" si="1"/>
        <v>0.03309761891455063</v>
      </c>
    </row>
    <row r="140" spans="1:15" ht="13.5" customHeight="1">
      <c r="A140" s="27" t="s">
        <v>164</v>
      </c>
      <c r="B140" s="47">
        <v>33911</v>
      </c>
      <c r="D140" s="2">
        <v>1</v>
      </c>
      <c r="E140" s="2">
        <v>110</v>
      </c>
      <c r="F140" s="27">
        <v>100</v>
      </c>
      <c r="G140" s="48">
        <v>1972.0850658917218</v>
      </c>
      <c r="I140" s="7">
        <v>1.9548695587579816</v>
      </c>
      <c r="K140" s="34">
        <v>3.8551690625929553</v>
      </c>
      <c r="L140" s="7">
        <v>19.54</v>
      </c>
      <c r="M140" s="48">
        <v>57.916666666666664</v>
      </c>
      <c r="O140" s="36">
        <f t="shared" si="1"/>
        <v>0.06656407014548987</v>
      </c>
    </row>
    <row r="141" spans="1:15" ht="13.5" customHeight="1">
      <c r="A141" s="27" t="s">
        <v>164</v>
      </c>
      <c r="B141" s="47">
        <v>33912</v>
      </c>
      <c r="D141" s="2">
        <v>0</v>
      </c>
      <c r="E141" s="2">
        <v>110</v>
      </c>
      <c r="F141" s="27">
        <v>100</v>
      </c>
      <c r="G141" s="48">
        <v>1006.0111928383063</v>
      </c>
      <c r="I141" s="7">
        <v>2.129038423177514</v>
      </c>
      <c r="K141" s="34">
        <v>2.1418364836993975</v>
      </c>
      <c r="L141" s="7">
        <v>22.54</v>
      </c>
      <c r="M141" s="48">
        <v>55.36833333333333</v>
      </c>
      <c r="O141" s="36">
        <f t="shared" si="1"/>
        <v>0.03868341983142105</v>
      </c>
    </row>
    <row r="142" spans="1:15" ht="13.5" customHeight="1">
      <c r="A142" s="27" t="s">
        <v>164</v>
      </c>
      <c r="B142" s="47">
        <v>33914</v>
      </c>
      <c r="D142" s="2">
        <v>-1</v>
      </c>
      <c r="E142" s="2">
        <v>110</v>
      </c>
      <c r="F142" s="27">
        <v>100</v>
      </c>
      <c r="G142" s="48">
        <v>380.4434022315664</v>
      </c>
      <c r="I142" s="7">
        <v>1.4356291147931879</v>
      </c>
      <c r="K142" s="34">
        <v>0.5461756247746125</v>
      </c>
      <c r="L142" s="7">
        <v>19.03</v>
      </c>
      <c r="M142" s="48">
        <v>116.52833333333332</v>
      </c>
      <c r="O142" s="36">
        <f t="shared" si="1"/>
        <v>0.004687062872617068</v>
      </c>
    </row>
    <row r="143" spans="1:15" ht="13.5" customHeight="1">
      <c r="A143" s="27" t="s">
        <v>164</v>
      </c>
      <c r="B143" s="47">
        <v>33915</v>
      </c>
      <c r="D143" s="2">
        <v>-2</v>
      </c>
      <c r="E143" s="2">
        <v>110</v>
      </c>
      <c r="F143" s="27">
        <v>100</v>
      </c>
      <c r="G143" s="48">
        <v>1655.5230305439788</v>
      </c>
      <c r="I143" s="7">
        <v>2.6874049617541895</v>
      </c>
      <c r="K143" s="34">
        <v>4.449060806582222</v>
      </c>
      <c r="L143" s="7">
        <v>19.06</v>
      </c>
      <c r="M143" s="48">
        <v>73.20666666666666</v>
      </c>
      <c r="O143" s="36">
        <f t="shared" si="1"/>
        <v>0.06077398424436147</v>
      </c>
    </row>
    <row r="144" spans="1:15" ht="13.5" customHeight="1">
      <c r="A144" s="27" t="s">
        <v>164</v>
      </c>
      <c r="B144" s="47">
        <v>33916</v>
      </c>
      <c r="D144" s="2">
        <v>-5</v>
      </c>
      <c r="E144" s="2">
        <v>110</v>
      </c>
      <c r="F144" s="27">
        <v>100</v>
      </c>
      <c r="G144" s="48">
        <v>1389.3797531444409</v>
      </c>
      <c r="I144" s="7">
        <v>1.4760263668608753</v>
      </c>
      <c r="K144" s="34">
        <v>2.050761149223849</v>
      </c>
      <c r="L144" s="7">
        <v>14.26</v>
      </c>
      <c r="M144" s="48">
        <v>54.5575</v>
      </c>
      <c r="O144" s="36">
        <f t="shared" si="1"/>
        <v>0.03758898683451128</v>
      </c>
    </row>
    <row r="145" spans="1:15" ht="13.5" customHeight="1">
      <c r="A145" s="27" t="s">
        <v>164</v>
      </c>
      <c r="B145" s="47">
        <v>33917</v>
      </c>
      <c r="D145" s="2">
        <v>-8</v>
      </c>
      <c r="E145" s="2">
        <v>110</v>
      </c>
      <c r="F145" s="27">
        <v>100</v>
      </c>
      <c r="G145" s="48">
        <v>2299.911025753343</v>
      </c>
      <c r="I145" s="7">
        <v>1.435990514378383</v>
      </c>
      <c r="K145" s="34">
        <v>3.302650416896058</v>
      </c>
      <c r="L145" s="7">
        <v>13.39</v>
      </c>
      <c r="M145" s="48">
        <v>71.46916666666667</v>
      </c>
      <c r="O145" s="36">
        <f t="shared" si="1"/>
        <v>0.04621084267429159</v>
      </c>
    </row>
    <row r="146" spans="1:15" ht="13.5" customHeight="1">
      <c r="A146" s="27" t="s">
        <v>164</v>
      </c>
      <c r="B146" s="47">
        <v>33918</v>
      </c>
      <c r="D146" s="2">
        <v>-10</v>
      </c>
      <c r="E146" s="2">
        <v>110</v>
      </c>
      <c r="F146" s="27">
        <v>100</v>
      </c>
      <c r="G146" s="48">
        <v>1796.306291706562</v>
      </c>
      <c r="I146" s="7">
        <v>2.023617782464968</v>
      </c>
      <c r="K146" s="34">
        <v>3.6350373546511032</v>
      </c>
      <c r="L146" s="7">
        <v>15.15</v>
      </c>
      <c r="M146" s="48">
        <v>100.31166666666665</v>
      </c>
      <c r="O146" s="36">
        <f t="shared" si="1"/>
        <v>0.03623743354529487</v>
      </c>
    </row>
    <row r="147" spans="1:16" ht="13.5" customHeight="1">
      <c r="A147" s="27" t="s">
        <v>164</v>
      </c>
      <c r="E147" s="2" t="s">
        <v>172</v>
      </c>
      <c r="G147" s="48">
        <f>AVERAGE(G81:G114)</f>
        <v>1833.2491321746659</v>
      </c>
      <c r="I147" s="7">
        <f>AVERAGE(I81:I114)</f>
        <v>1.4015795895917633</v>
      </c>
      <c r="K147" s="7">
        <f>AVERAGE(K81:K114)</f>
        <v>2.619223465758863</v>
      </c>
      <c r="L147" s="49"/>
      <c r="M147" s="7">
        <f>AVERAGE(M81:M114)</f>
        <v>56.455122549019606</v>
      </c>
      <c r="O147" s="50">
        <f>AVERAGE(O81:O114)</f>
        <v>0.05377041149494762</v>
      </c>
      <c r="P147" s="2" t="s">
        <v>173</v>
      </c>
    </row>
    <row r="148" spans="1:16" ht="13.5" customHeight="1">
      <c r="A148" s="27" t="s">
        <v>164</v>
      </c>
      <c r="E148" s="2" t="s">
        <v>174</v>
      </c>
      <c r="G148" s="48">
        <f>AVERAGE(G116:G146)</f>
        <v>1777.3004834014716</v>
      </c>
      <c r="I148" s="7">
        <f>AVERAGE(I116:I146)</f>
        <v>1.507307246542419</v>
      </c>
      <c r="K148" s="7">
        <f>AVERAGE(K116:K146)</f>
        <v>2.550445623346383</v>
      </c>
      <c r="L148" s="49"/>
      <c r="M148" s="7">
        <f>AVERAGE(M116:M146)</f>
        <v>68.28935483870967</v>
      </c>
      <c r="O148" s="50">
        <f>AVERAGE(O116:O146)</f>
        <v>0.03780878083724536</v>
      </c>
      <c r="P148" s="2" t="s">
        <v>175</v>
      </c>
    </row>
    <row r="149" spans="10:15" s="23" customFormat="1" ht="13.5" customHeight="1">
      <c r="J149" s="19"/>
      <c r="L149" s="24"/>
      <c r="O149" s="25"/>
    </row>
    <row r="150" ht="13.5" customHeight="1">
      <c r="E150" s="2" t="s">
        <v>176</v>
      </c>
    </row>
    <row r="151" spans="1:17" ht="29.25" customHeight="1">
      <c r="A151" s="2" t="s">
        <v>177</v>
      </c>
      <c r="B151" s="47">
        <v>34711</v>
      </c>
      <c r="C151" s="2" t="s">
        <v>178</v>
      </c>
      <c r="D151" s="7">
        <v>19.174666666666667</v>
      </c>
      <c r="E151" s="7">
        <v>67.16883333333334</v>
      </c>
      <c r="F151" s="2">
        <v>100</v>
      </c>
      <c r="G151" s="48">
        <v>559.1850743866652</v>
      </c>
      <c r="H151" s="2" t="s">
        <v>179</v>
      </c>
      <c r="I151" s="7">
        <v>1.7958474008324214</v>
      </c>
      <c r="J151" s="51" t="s">
        <v>180</v>
      </c>
      <c r="K151" s="7">
        <v>1.004211062421577</v>
      </c>
      <c r="M151" s="48">
        <v>89.88375</v>
      </c>
      <c r="O151" s="8">
        <v>0.011172331621918054</v>
      </c>
      <c r="Q151" s="2" t="s">
        <v>181</v>
      </c>
    </row>
    <row r="152" spans="1:17" ht="13.5" customHeight="1">
      <c r="A152" s="2" t="s">
        <v>177</v>
      </c>
      <c r="B152" s="47">
        <v>34717</v>
      </c>
      <c r="C152" s="2" t="s">
        <v>182</v>
      </c>
      <c r="D152" s="7">
        <v>10.017666666666667</v>
      </c>
      <c r="E152" s="7">
        <v>64.91683333333334</v>
      </c>
      <c r="F152" s="2">
        <v>100</v>
      </c>
      <c r="G152" s="48">
        <v>172.37970981847084</v>
      </c>
      <c r="I152" s="7">
        <v>3.4768836112232147</v>
      </c>
      <c r="K152" s="7">
        <v>0.5993441879752547</v>
      </c>
      <c r="M152" s="48">
        <v>53.30875</v>
      </c>
      <c r="O152" s="8">
        <v>0.011242885792205871</v>
      </c>
      <c r="Q152" s="2" t="s">
        <v>183</v>
      </c>
    </row>
    <row r="153" spans="1:15" ht="13.5" customHeight="1">
      <c r="A153" s="2" t="s">
        <v>177</v>
      </c>
      <c r="B153" s="47">
        <v>34720</v>
      </c>
      <c r="C153" s="2" t="s">
        <v>184</v>
      </c>
      <c r="D153" s="7">
        <v>14.454666666666666</v>
      </c>
      <c r="E153" s="7">
        <v>65.00033333333333</v>
      </c>
      <c r="F153" s="2">
        <v>100</v>
      </c>
      <c r="G153" s="48">
        <v>1252.137291059566</v>
      </c>
      <c r="I153" s="7">
        <v>3.4768836112232147</v>
      </c>
      <c r="K153" s="7">
        <v>4.353535626286437</v>
      </c>
      <c r="M153" s="48">
        <v>83.67416666666666</v>
      </c>
      <c r="O153" s="8">
        <v>0.05202962634369154</v>
      </c>
    </row>
    <row r="154" spans="1:15" ht="13.5" customHeight="1">
      <c r="A154" s="2" t="s">
        <v>177</v>
      </c>
      <c r="B154" s="47">
        <v>34722</v>
      </c>
      <c r="C154" s="2" t="s">
        <v>185</v>
      </c>
      <c r="D154" s="7">
        <v>16.019</v>
      </c>
      <c r="E154" s="7">
        <v>62.034</v>
      </c>
      <c r="F154" s="2">
        <v>100</v>
      </c>
      <c r="G154" s="48">
        <v>1145.7309399636995</v>
      </c>
      <c r="I154" s="7">
        <v>3.4768836112232147</v>
      </c>
      <c r="K154" s="7">
        <v>3.9835731280311553</v>
      </c>
      <c r="M154" s="48">
        <v>99.96083333333333</v>
      </c>
      <c r="O154" s="8">
        <v>0.03985133972170256</v>
      </c>
    </row>
    <row r="155" spans="1:15" ht="13.5" customHeight="1">
      <c r="A155" s="2" t="s">
        <v>177</v>
      </c>
      <c r="B155" s="47">
        <v>34726</v>
      </c>
      <c r="C155" s="2" t="s">
        <v>186</v>
      </c>
      <c r="D155" s="7">
        <v>17.201</v>
      </c>
      <c r="E155" s="7">
        <v>59.767</v>
      </c>
      <c r="F155" s="2">
        <v>100</v>
      </c>
      <c r="G155" s="48">
        <v>1031.1726655836794</v>
      </c>
      <c r="I155" s="7">
        <v>3.4768836112232147</v>
      </c>
      <c r="K155" s="7">
        <v>3.585267341309251</v>
      </c>
      <c r="M155" s="48">
        <v>84.70958333333333</v>
      </c>
      <c r="O155" s="8">
        <v>0.04232422354388377</v>
      </c>
    </row>
    <row r="156" spans="1:15" ht="13.5" customHeight="1">
      <c r="A156" s="2" t="s">
        <v>177</v>
      </c>
      <c r="B156" s="47">
        <v>34730</v>
      </c>
      <c r="C156" s="2" t="s">
        <v>187</v>
      </c>
      <c r="D156" s="7">
        <v>18.099</v>
      </c>
      <c r="E156" s="7">
        <v>58.004</v>
      </c>
      <c r="F156" s="2">
        <v>100</v>
      </c>
      <c r="G156" s="48">
        <v>1944.1254292234773</v>
      </c>
      <c r="I156" s="7">
        <v>3.4768836112232147</v>
      </c>
      <c r="K156" s="7">
        <v>6.759497843029405</v>
      </c>
      <c r="M156" s="48">
        <v>120.55958333333334</v>
      </c>
      <c r="O156" s="8">
        <v>0.05606769413212199</v>
      </c>
    </row>
    <row r="157" spans="2:13" ht="13.5" customHeight="1">
      <c r="B157" s="47"/>
      <c r="D157" s="7"/>
      <c r="E157" s="7"/>
      <c r="G157" s="48"/>
      <c r="I157" s="7"/>
      <c r="K157" s="7"/>
      <c r="M157" s="48"/>
    </row>
    <row r="158" spans="1:15" ht="13.5" customHeight="1">
      <c r="A158" s="2" t="s">
        <v>177</v>
      </c>
      <c r="B158" s="47">
        <v>34776</v>
      </c>
      <c r="C158" s="2" t="s">
        <v>178</v>
      </c>
      <c r="D158" s="7">
        <v>19.174666666666667</v>
      </c>
      <c r="E158" s="7">
        <v>67.16883333333334</v>
      </c>
      <c r="F158" s="2">
        <v>100</v>
      </c>
      <c r="G158" s="48">
        <v>1800.9752465100214</v>
      </c>
      <c r="I158" s="7">
        <v>2.8434759327231856</v>
      </c>
      <c r="K158" s="7">
        <v>5.121029768881407</v>
      </c>
      <c r="M158" s="48">
        <v>107.76</v>
      </c>
      <c r="O158" s="8">
        <v>0.04752254796660548</v>
      </c>
    </row>
    <row r="159" spans="1:15" ht="13.5" customHeight="1">
      <c r="A159" s="2" t="s">
        <v>177</v>
      </c>
      <c r="B159" s="47">
        <v>34781</v>
      </c>
      <c r="C159" s="2" t="s">
        <v>182</v>
      </c>
      <c r="D159" s="7">
        <v>10.017666666666667</v>
      </c>
      <c r="E159" s="7">
        <v>64.91683333333334</v>
      </c>
      <c r="F159" s="2">
        <v>100</v>
      </c>
      <c r="G159" s="48">
        <v>1049.2533685074213</v>
      </c>
      <c r="I159" s="7">
        <v>2.5896163233538516</v>
      </c>
      <c r="K159" s="7">
        <v>2.7171636504208494</v>
      </c>
      <c r="M159" s="48">
        <v>63.7525</v>
      </c>
      <c r="O159" s="8">
        <v>0.04262050351626759</v>
      </c>
    </row>
    <row r="160" spans="1:15" ht="13.5" customHeight="1">
      <c r="A160" s="2" t="s">
        <v>177</v>
      </c>
      <c r="B160" s="47">
        <v>34785</v>
      </c>
      <c r="C160" s="2" t="s">
        <v>184</v>
      </c>
      <c r="D160" s="7">
        <v>14.454666666666666</v>
      </c>
      <c r="E160" s="7">
        <v>65.00033333333333</v>
      </c>
      <c r="F160" s="2">
        <v>100</v>
      </c>
      <c r="G160" s="48">
        <v>1104.3918679031876</v>
      </c>
      <c r="I160" s="7">
        <v>2.5896163233538516</v>
      </c>
      <c r="K160" s="7">
        <v>2.8599512085013394</v>
      </c>
      <c r="M160" s="48">
        <v>70.39416666666666</v>
      </c>
      <c r="O160" s="8">
        <v>0.04062767334179688</v>
      </c>
    </row>
    <row r="161" spans="1:15" ht="13.5" customHeight="1">
      <c r="A161" s="2" t="s">
        <v>177</v>
      </c>
      <c r="B161" s="47">
        <v>34787</v>
      </c>
      <c r="C161" s="2" t="s">
        <v>188</v>
      </c>
      <c r="D161" s="7">
        <v>15.25</v>
      </c>
      <c r="E161" s="7">
        <v>63.5</v>
      </c>
      <c r="F161" s="2">
        <v>100</v>
      </c>
      <c r="G161" s="48">
        <v>1159.6018768749007</v>
      </c>
      <c r="I161" s="7">
        <v>2.5896163233538516</v>
      </c>
      <c r="K161" s="7">
        <v>3.0029239489469726</v>
      </c>
      <c r="M161" s="48">
        <v>91.77833333333334</v>
      </c>
      <c r="O161" s="8">
        <v>0.03271931228082488</v>
      </c>
    </row>
    <row r="162" spans="1:15" ht="13.5" customHeight="1">
      <c r="A162" s="2" t="s">
        <v>177</v>
      </c>
      <c r="B162" s="47">
        <v>34788</v>
      </c>
      <c r="C162" s="2" t="s">
        <v>185</v>
      </c>
      <c r="D162" s="7">
        <v>16.019</v>
      </c>
      <c r="E162" s="7">
        <v>62.034</v>
      </c>
      <c r="F162" s="2">
        <v>100</v>
      </c>
      <c r="G162" s="48">
        <v>340.3339841534818</v>
      </c>
      <c r="I162" s="7">
        <v>2.5896163233538516</v>
      </c>
      <c r="K162" s="7">
        <v>0.8813344407559324</v>
      </c>
      <c r="M162" s="48">
        <v>80.25333333333333</v>
      </c>
      <c r="O162" s="8">
        <v>0.010981904478600254</v>
      </c>
    </row>
    <row r="163" spans="1:15" ht="13.5" customHeight="1">
      <c r="A163" s="2" t="s">
        <v>177</v>
      </c>
      <c r="B163" s="47">
        <v>34791</v>
      </c>
      <c r="C163" s="2" t="s">
        <v>186</v>
      </c>
      <c r="D163" s="7">
        <v>17.201</v>
      </c>
      <c r="E163" s="7">
        <v>59.767</v>
      </c>
      <c r="F163" s="2">
        <v>100</v>
      </c>
      <c r="G163" s="48">
        <v>1683.4147342428128</v>
      </c>
      <c r="I163" s="7">
        <v>2.5896163233538516</v>
      </c>
      <c r="K163" s="7">
        <v>4.359398274769579</v>
      </c>
      <c r="M163" s="48">
        <v>100.05145833333333</v>
      </c>
      <c r="O163" s="8">
        <v>0.04357156154831572</v>
      </c>
    </row>
    <row r="164" spans="1:15" ht="13.5" customHeight="1">
      <c r="A164" s="2" t="s">
        <v>177</v>
      </c>
      <c r="B164" s="47">
        <v>34794</v>
      </c>
      <c r="C164" s="2" t="s">
        <v>187</v>
      </c>
      <c r="D164" s="7">
        <v>18.099</v>
      </c>
      <c r="E164" s="7">
        <v>58.004</v>
      </c>
      <c r="F164" s="2">
        <v>100</v>
      </c>
      <c r="G164" s="48">
        <v>2467.1525387326583</v>
      </c>
      <c r="I164" s="7">
        <v>2.5896163233538516</v>
      </c>
      <c r="K164" s="7">
        <v>6.388978486506005</v>
      </c>
      <c r="M164" s="48">
        <v>71.47</v>
      </c>
      <c r="O164" s="8">
        <v>0.08939385037786492</v>
      </c>
    </row>
    <row r="165" spans="2:13" ht="13.5" customHeight="1">
      <c r="B165" s="47"/>
      <c r="D165" s="7"/>
      <c r="E165" s="7"/>
      <c r="G165" s="48"/>
      <c r="I165" s="7"/>
      <c r="K165" s="7"/>
      <c r="M165" s="48"/>
    </row>
    <row r="166" spans="1:15" ht="13.5" customHeight="1">
      <c r="A166" s="2" t="s">
        <v>177</v>
      </c>
      <c r="B166" s="47">
        <v>34901</v>
      </c>
      <c r="C166" s="2" t="s">
        <v>178</v>
      </c>
      <c r="D166" s="7">
        <v>19.174666666666667</v>
      </c>
      <c r="E166" s="7">
        <v>67.16883333333334</v>
      </c>
      <c r="F166" s="2">
        <v>100</v>
      </c>
      <c r="G166" s="48">
        <v>1055.830415192968</v>
      </c>
      <c r="I166" s="7">
        <v>2.475</v>
      </c>
      <c r="K166" s="7">
        <v>2.613180277602606</v>
      </c>
      <c r="M166" s="48">
        <v>78.77416666666667</v>
      </c>
      <c r="O166" s="8">
        <v>0.033173061527395055</v>
      </c>
    </row>
    <row r="167" spans="1:15" ht="13.5" customHeight="1">
      <c r="A167" s="2" t="s">
        <v>177</v>
      </c>
      <c r="B167" s="47">
        <v>34909</v>
      </c>
      <c r="C167" s="2" t="s">
        <v>182</v>
      </c>
      <c r="D167" s="7">
        <v>10.017666666666667</v>
      </c>
      <c r="E167" s="7">
        <v>64.91683333333334</v>
      </c>
      <c r="F167" s="2">
        <v>100</v>
      </c>
      <c r="G167" s="48">
        <v>599.3796483659448</v>
      </c>
      <c r="I167" s="7">
        <v>3.111428571428571</v>
      </c>
      <c r="K167" s="7">
        <v>1.864926963058611</v>
      </c>
      <c r="M167" s="48">
        <v>130.09166666666667</v>
      </c>
      <c r="O167" s="8">
        <v>0.014335483669658146</v>
      </c>
    </row>
    <row r="168" spans="1:15" ht="13.5" customHeight="1">
      <c r="A168" s="2" t="s">
        <v>177</v>
      </c>
      <c r="B168" s="47">
        <v>34908</v>
      </c>
      <c r="C168" s="2" t="s">
        <v>184</v>
      </c>
      <c r="D168" s="7">
        <v>14.454666666666666</v>
      </c>
      <c r="E168" s="7">
        <v>65.00033333333333</v>
      </c>
      <c r="F168" s="2">
        <v>100</v>
      </c>
      <c r="G168" s="48">
        <v>952.4936075506106</v>
      </c>
      <c r="I168" s="7">
        <v>3.111428571428571</v>
      </c>
      <c r="K168" s="7">
        <v>2.9636158246360456</v>
      </c>
      <c r="M168" s="48">
        <v>128.97958333333332</v>
      </c>
      <c r="O168" s="8">
        <v>0.022977402686880383</v>
      </c>
    </row>
    <row r="169" spans="1:15" ht="13.5" customHeight="1">
      <c r="A169" s="2" t="s">
        <v>177</v>
      </c>
      <c r="B169" s="47">
        <v>34915</v>
      </c>
      <c r="C169" s="2" t="s">
        <v>185</v>
      </c>
      <c r="D169" s="7">
        <v>16.019</v>
      </c>
      <c r="E169" s="7">
        <v>62.034</v>
      </c>
      <c r="F169" s="2">
        <v>100</v>
      </c>
      <c r="G169" s="48">
        <v>1303.420690824211</v>
      </c>
      <c r="I169" s="7">
        <v>3.111428571428571</v>
      </c>
      <c r="K169" s="7">
        <v>4.055500378021627</v>
      </c>
      <c r="M169" s="48">
        <v>134.13583333333332</v>
      </c>
      <c r="O169" s="8">
        <v>0.03023428026084226</v>
      </c>
    </row>
    <row r="170" spans="1:15" ht="13.5" customHeight="1">
      <c r="A170" s="2" t="s">
        <v>177</v>
      </c>
      <c r="B170" s="47">
        <v>34919</v>
      </c>
      <c r="C170" s="2" t="s">
        <v>187</v>
      </c>
      <c r="D170" s="7">
        <v>17.201</v>
      </c>
      <c r="E170" s="7">
        <v>59.767</v>
      </c>
      <c r="F170" s="2">
        <v>100</v>
      </c>
      <c r="G170" s="48">
        <v>3789.3931343624154</v>
      </c>
      <c r="I170" s="7">
        <v>3.111428571428571</v>
      </c>
      <c r="K170" s="7">
        <v>11.79042606663049</v>
      </c>
      <c r="M170" s="48">
        <v>114.79875</v>
      </c>
      <c r="O170" s="8">
        <v>0.10270517811936532</v>
      </c>
    </row>
    <row r="171" spans="2:13" ht="13.5" customHeight="1">
      <c r="B171" s="47"/>
      <c r="D171" s="7"/>
      <c r="E171" s="7"/>
      <c r="G171" s="48"/>
      <c r="I171" s="7"/>
      <c r="K171" s="7"/>
      <c r="M171" s="48"/>
    </row>
    <row r="172" spans="1:15" ht="13.5" customHeight="1">
      <c r="A172" s="2" t="s">
        <v>177</v>
      </c>
      <c r="B172" s="47">
        <v>34934</v>
      </c>
      <c r="C172" s="2" t="s">
        <v>178</v>
      </c>
      <c r="D172" s="7">
        <v>19.174666666666667</v>
      </c>
      <c r="E172" s="7">
        <v>67.16883333333334</v>
      </c>
      <c r="F172" s="2">
        <v>100</v>
      </c>
      <c r="G172" s="48">
        <v>660.3076692539638</v>
      </c>
      <c r="I172" s="7">
        <v>3.806</v>
      </c>
      <c r="K172" s="7">
        <v>2.513130989180551</v>
      </c>
      <c r="M172" s="48">
        <v>52.46666666666666</v>
      </c>
      <c r="O172" s="8">
        <v>0.04789957412669412</v>
      </c>
    </row>
    <row r="173" spans="1:15" ht="13.5" customHeight="1">
      <c r="A173" s="2" t="s">
        <v>177</v>
      </c>
      <c r="B173" s="47">
        <v>34939</v>
      </c>
      <c r="C173" s="2" t="s">
        <v>182</v>
      </c>
      <c r="D173" s="7">
        <v>10.017666666666667</v>
      </c>
      <c r="E173" s="7">
        <v>64.91683333333334</v>
      </c>
      <c r="F173" s="2">
        <v>100</v>
      </c>
      <c r="G173" s="48">
        <v>2287.526823785962</v>
      </c>
      <c r="I173" s="7">
        <v>4.943333333333333</v>
      </c>
      <c r="K173" s="7">
        <v>11.308007598915491</v>
      </c>
      <c r="M173" s="48">
        <v>51.194583333333334</v>
      </c>
      <c r="O173" s="8">
        <v>0.22088289156077043</v>
      </c>
    </row>
    <row r="174" spans="1:15" ht="13.5" customHeight="1">
      <c r="A174" s="2" t="s">
        <v>177</v>
      </c>
      <c r="B174" s="47">
        <v>34946</v>
      </c>
      <c r="C174" s="2" t="s">
        <v>185</v>
      </c>
      <c r="D174" s="7">
        <v>16.019</v>
      </c>
      <c r="E174" s="7">
        <v>62.034</v>
      </c>
      <c r="F174" s="2">
        <v>100</v>
      </c>
      <c r="G174" s="48">
        <v>5137.094464892533</v>
      </c>
      <c r="I174" s="7">
        <v>4.943333333333333</v>
      </c>
      <c r="K174" s="7">
        <v>25.394370304784143</v>
      </c>
      <c r="M174" s="48">
        <v>146.73666666666665</v>
      </c>
      <c r="O174" s="8">
        <v>0.17306083667874977</v>
      </c>
    </row>
    <row r="175" spans="1:15" ht="13.5" customHeight="1">
      <c r="A175" s="2" t="s">
        <v>177</v>
      </c>
      <c r="B175" s="47">
        <v>34949</v>
      </c>
      <c r="C175" s="2" t="s">
        <v>186</v>
      </c>
      <c r="D175" s="7">
        <v>17.201</v>
      </c>
      <c r="E175" s="7">
        <v>59.767</v>
      </c>
      <c r="F175" s="2">
        <v>100</v>
      </c>
      <c r="G175" s="48">
        <v>3968.990518578601</v>
      </c>
      <c r="I175" s="7">
        <v>4.943333333333333</v>
      </c>
      <c r="K175" s="7">
        <v>19.620043130172757</v>
      </c>
      <c r="M175" s="48">
        <v>72.19083333333333</v>
      </c>
      <c r="O175" s="8">
        <v>0.2717802555288334</v>
      </c>
    </row>
    <row r="176" spans="1:15" ht="13.5" customHeight="1">
      <c r="A176" s="2" t="s">
        <v>177</v>
      </c>
      <c r="B176" s="47">
        <v>34952</v>
      </c>
      <c r="C176" s="2" t="s">
        <v>187</v>
      </c>
      <c r="D176" s="7">
        <v>18.099</v>
      </c>
      <c r="E176" s="7">
        <v>58.004</v>
      </c>
      <c r="F176" s="2">
        <v>100</v>
      </c>
      <c r="G176" s="48">
        <v>5215.323316905897</v>
      </c>
      <c r="I176" s="7">
        <v>4.943333333333333</v>
      </c>
      <c r="K176" s="7">
        <v>25.781081596571315</v>
      </c>
      <c r="M176" s="48">
        <v>92.39958333333334</v>
      </c>
      <c r="O176" s="8">
        <v>0.2790172927897905</v>
      </c>
    </row>
    <row r="177" spans="2:13" ht="13.5" customHeight="1">
      <c r="B177" s="47"/>
      <c r="D177" s="7"/>
      <c r="E177" s="7"/>
      <c r="G177" s="48"/>
      <c r="I177" s="7"/>
      <c r="K177" s="7"/>
      <c r="M177" s="48"/>
    </row>
    <row r="178" spans="2:17" ht="13.5" customHeight="1">
      <c r="B178" s="47" t="s">
        <v>189</v>
      </c>
      <c r="D178" s="7"/>
      <c r="E178" s="7"/>
      <c r="G178" s="48">
        <f>AVERAGE(G151:G155,G158:G163,G166:G169,G172:G175)</f>
        <v>1434.9273998657209</v>
      </c>
      <c r="H178" s="2" t="s">
        <v>190</v>
      </c>
      <c r="I178" s="7">
        <f>AVERAGE(I151:I155,I158:I163,I166:I169,I172:I175)</f>
        <v>3.2600118478686015</v>
      </c>
      <c r="K178" s="7">
        <f>AVERAGE(K151:K155,K158:K163,K166:K169,K172:K175)</f>
        <v>5.41055305814061</v>
      </c>
      <c r="M178" s="7">
        <f>AVERAGE(M151:M155,M158:M163,M166:M169,M172:M175)</f>
        <v>90.53141447368422</v>
      </c>
      <c r="O178" s="50">
        <f>AVERAGE(O151:O155,O158:O163,O166:O169,O172:O175)</f>
        <v>0.06257935243134927</v>
      </c>
      <c r="Q178" s="2" t="s">
        <v>191</v>
      </c>
    </row>
    <row r="179" spans="2:16" ht="13.5" customHeight="1">
      <c r="B179" s="2" t="s">
        <v>192</v>
      </c>
      <c r="G179" s="48">
        <f>AVERAGE(G156,G164,G170,G176)</f>
        <v>3353.998604806112</v>
      </c>
      <c r="H179" s="2" t="s">
        <v>193</v>
      </c>
      <c r="I179" s="7">
        <f>AVERAGE(I156,I164,I170,I176)</f>
        <v>3.530315459834743</v>
      </c>
      <c r="K179" s="7">
        <f>AVERAGE(K156,K164,K170,K176)</f>
        <v>12.679995998184303</v>
      </c>
      <c r="M179" s="7">
        <f>AVERAGE(M156,M164,M170,M176)</f>
        <v>99.80697916666666</v>
      </c>
      <c r="O179" s="50">
        <f>AVERAGE(O156,O164,O170,O176)</f>
        <v>0.13179600385478568</v>
      </c>
      <c r="P179" s="2" t="s">
        <v>194</v>
      </c>
    </row>
    <row r="180" spans="10:15" s="23" customFormat="1" ht="13.5" customHeight="1">
      <c r="J180" s="19"/>
      <c r="L180" s="24"/>
      <c r="O180" s="25"/>
    </row>
    <row r="181" spans="4:5" ht="13.5" customHeight="1">
      <c r="D181" s="2" t="s">
        <v>195</v>
      </c>
      <c r="E181" s="2" t="s">
        <v>196</v>
      </c>
    </row>
    <row r="182" spans="1:17" ht="27.75" customHeight="1">
      <c r="A182" s="2" t="s">
        <v>197</v>
      </c>
      <c r="B182" s="47">
        <v>35731</v>
      </c>
      <c r="C182" s="2">
        <v>3</v>
      </c>
      <c r="D182" s="52">
        <v>62.317166666666665</v>
      </c>
      <c r="E182" s="52">
        <v>170.00266666666667</v>
      </c>
      <c r="F182" s="2">
        <v>100</v>
      </c>
      <c r="G182" s="48">
        <v>2848.784741862297</v>
      </c>
      <c r="H182" s="2" t="s">
        <v>198</v>
      </c>
      <c r="I182" s="7">
        <v>5.74533112464633</v>
      </c>
      <c r="J182" s="51" t="s">
        <v>199</v>
      </c>
      <c r="K182" s="7">
        <v>16.367211644839013</v>
      </c>
      <c r="M182" s="7">
        <v>19.06070412117631</v>
      </c>
      <c r="O182" s="8">
        <v>0.8586887210874415</v>
      </c>
      <c r="P182" s="2" t="s">
        <v>200</v>
      </c>
      <c r="Q182" s="2" t="s">
        <v>201</v>
      </c>
    </row>
    <row r="183" spans="1:17" ht="13.5" customHeight="1">
      <c r="A183" s="2" t="s">
        <v>197</v>
      </c>
      <c r="B183" s="47">
        <v>35735</v>
      </c>
      <c r="C183" s="2">
        <v>8</v>
      </c>
      <c r="D183" s="52">
        <v>60.500166666666665</v>
      </c>
      <c r="E183" s="52">
        <v>169</v>
      </c>
      <c r="F183" s="2">
        <v>100</v>
      </c>
      <c r="G183" s="48">
        <v>2122.840110025501</v>
      </c>
      <c r="I183" s="7">
        <v>7.147246268813906</v>
      </c>
      <c r="K183" s="7">
        <v>15.172461055668263</v>
      </c>
      <c r="M183" s="7">
        <v>31.2676845452442</v>
      </c>
      <c r="O183" s="8">
        <v>0.485244151472546</v>
      </c>
      <c r="P183" s="2" t="s">
        <v>200</v>
      </c>
      <c r="Q183" s="2" t="s">
        <v>202</v>
      </c>
    </row>
    <row r="184" spans="1:16" ht="13.5" customHeight="1">
      <c r="A184" s="2" t="s">
        <v>197</v>
      </c>
      <c r="B184" s="47">
        <v>35738</v>
      </c>
      <c r="C184" s="2">
        <v>12</v>
      </c>
      <c r="D184" s="52">
        <v>59.333333333333336</v>
      </c>
      <c r="E184" s="52">
        <v>169</v>
      </c>
      <c r="F184" s="2">
        <v>100</v>
      </c>
      <c r="G184" s="48">
        <v>2198.8642101668534</v>
      </c>
      <c r="I184" s="7">
        <v>5.1987105972144905</v>
      </c>
      <c r="K184" s="7">
        <v>11.431258671230092</v>
      </c>
      <c r="M184" s="7">
        <v>23.00842437357829</v>
      </c>
      <c r="O184" s="8">
        <v>0.4968292693852244</v>
      </c>
      <c r="P184" s="2" t="s">
        <v>200</v>
      </c>
    </row>
    <row r="185" spans="2:13" ht="13.5" customHeight="1">
      <c r="B185" s="47"/>
      <c r="D185" s="52"/>
      <c r="E185" s="52"/>
      <c r="G185" s="48"/>
      <c r="I185" s="7"/>
      <c r="K185" s="7"/>
      <c r="M185" s="7"/>
    </row>
    <row r="186" spans="1:15" ht="13.5" customHeight="1">
      <c r="A186" s="2" t="s">
        <v>197</v>
      </c>
      <c r="B186" s="47">
        <v>35768</v>
      </c>
      <c r="C186" s="2">
        <v>1</v>
      </c>
      <c r="D186" s="52">
        <v>53.029833333333336</v>
      </c>
      <c r="E186" s="52">
        <v>174.72866666666667</v>
      </c>
      <c r="F186" s="2">
        <v>100</v>
      </c>
      <c r="G186" s="48">
        <v>3573.382857297415</v>
      </c>
      <c r="I186" s="7">
        <v>2.958697622616713</v>
      </c>
      <c r="K186" s="7">
        <v>10.572559364585178</v>
      </c>
      <c r="M186" s="7">
        <v>141.1115841879668</v>
      </c>
      <c r="O186" s="8">
        <v>0.0749233978586908</v>
      </c>
    </row>
    <row r="187" spans="1:15" ht="13.5" customHeight="1">
      <c r="A187" s="2" t="s">
        <v>197</v>
      </c>
      <c r="B187" s="47">
        <v>35771</v>
      </c>
      <c r="C187" s="2">
        <v>2</v>
      </c>
      <c r="D187" s="52">
        <v>56.843333333333334</v>
      </c>
      <c r="E187" s="52">
        <v>174.15366666666668</v>
      </c>
      <c r="F187" s="2">
        <v>100</v>
      </c>
      <c r="G187" s="48">
        <v>1414.8755756648134</v>
      </c>
      <c r="I187" s="7">
        <v>3.703188728147402</v>
      </c>
      <c r="K187" s="7">
        <v>5.239551283533004</v>
      </c>
      <c r="M187" s="7">
        <v>31.72484041135934</v>
      </c>
      <c r="O187" s="8">
        <v>0.16515611160196536</v>
      </c>
    </row>
    <row r="188" spans="1:15" ht="13.5" customHeight="1">
      <c r="A188" s="2" t="s">
        <v>197</v>
      </c>
      <c r="B188" s="47">
        <v>35774</v>
      </c>
      <c r="C188" s="2">
        <v>4</v>
      </c>
      <c r="D188" s="52">
        <v>60.230666666666664</v>
      </c>
      <c r="E188" s="52">
        <v>170.071</v>
      </c>
      <c r="F188" s="2">
        <v>100</v>
      </c>
      <c r="G188" s="48">
        <v>3130.292845982731</v>
      </c>
      <c r="I188" s="7">
        <v>2.934895853206759</v>
      </c>
      <c r="K188" s="7">
        <v>9.1870834929975</v>
      </c>
      <c r="M188" s="7">
        <v>64.94016845844051</v>
      </c>
      <c r="O188" s="8">
        <v>0.1414699670647901</v>
      </c>
    </row>
    <row r="189" spans="1:15" ht="13.5" customHeight="1">
      <c r="A189" s="2" t="s">
        <v>197</v>
      </c>
      <c r="B189" s="47">
        <v>35776</v>
      </c>
      <c r="C189" s="2">
        <v>5</v>
      </c>
      <c r="D189" s="52">
        <v>60.916666666666664</v>
      </c>
      <c r="E189" s="52">
        <v>169.2525</v>
      </c>
      <c r="F189" s="2">
        <v>100</v>
      </c>
      <c r="G189" s="48">
        <v>3226.3029345922414</v>
      </c>
      <c r="I189" s="7">
        <v>5.804574730103695</v>
      </c>
      <c r="K189" s="7">
        <v>18.72731648579352</v>
      </c>
      <c r="M189" s="7">
        <v>42.38694938951493</v>
      </c>
      <c r="O189" s="8">
        <v>0.441817983023473</v>
      </c>
    </row>
    <row r="190" spans="1:15" ht="13.5" customHeight="1">
      <c r="A190" s="2" t="s">
        <v>197</v>
      </c>
      <c r="B190" s="47">
        <v>35778</v>
      </c>
      <c r="C190" s="2">
        <v>6</v>
      </c>
      <c r="D190" s="52">
        <v>61.667</v>
      </c>
      <c r="E190" s="52">
        <v>168.83333333333334</v>
      </c>
      <c r="F190" s="2">
        <v>100</v>
      </c>
      <c r="G190" s="48">
        <v>2217.3927666673603</v>
      </c>
      <c r="I190" s="7">
        <v>4.100026411951329</v>
      </c>
      <c r="K190" s="7">
        <v>9.091368909006007</v>
      </c>
      <c r="M190" s="7">
        <v>63.7786420209794</v>
      </c>
      <c r="O190" s="8">
        <v>0.14254566451909537</v>
      </c>
    </row>
    <row r="191" spans="1:15" ht="13.5" customHeight="1">
      <c r="A191" s="2" t="s">
        <v>197</v>
      </c>
      <c r="B191" s="47">
        <v>35780</v>
      </c>
      <c r="C191" s="2">
        <v>7</v>
      </c>
      <c r="D191" s="52">
        <v>64.15333333333334</v>
      </c>
      <c r="E191" s="52">
        <v>169.18616666666668</v>
      </c>
      <c r="F191" s="2">
        <v>100</v>
      </c>
      <c r="G191" s="48">
        <v>2432.0786930967283</v>
      </c>
      <c r="I191" s="7">
        <v>2.6667090601637082</v>
      </c>
      <c r="K191" s="7">
        <v>6.485646285912156</v>
      </c>
      <c r="M191" s="7">
        <v>89.14666302075568</v>
      </c>
      <c r="O191" s="8">
        <v>0.07275254133070722</v>
      </c>
    </row>
    <row r="192" spans="1:15" ht="13.5" customHeight="1">
      <c r="A192" s="2" t="s">
        <v>197</v>
      </c>
      <c r="B192" s="47">
        <v>35782</v>
      </c>
      <c r="C192" s="2">
        <v>8</v>
      </c>
      <c r="D192" s="52">
        <v>64.67316666666666</v>
      </c>
      <c r="E192" s="52">
        <v>169.18616666666668</v>
      </c>
      <c r="F192" s="2">
        <v>100</v>
      </c>
      <c r="G192" s="48">
        <v>2428.9975842969793</v>
      </c>
      <c r="I192" s="7">
        <v>6.497952640250316</v>
      </c>
      <c r="K192" s="7">
        <v>15.783511266044195</v>
      </c>
      <c r="M192" s="7">
        <v>66.42980426506102</v>
      </c>
      <c r="O192" s="8">
        <v>0.23759683534617285</v>
      </c>
    </row>
    <row r="193" spans="1:15" ht="13.5" customHeight="1">
      <c r="A193" s="2" t="s">
        <v>197</v>
      </c>
      <c r="B193" s="47">
        <v>35783</v>
      </c>
      <c r="C193" s="2">
        <v>9</v>
      </c>
      <c r="D193" s="52">
        <v>63.087</v>
      </c>
      <c r="E193" s="52">
        <v>169.18616666666668</v>
      </c>
      <c r="F193" s="2">
        <v>100</v>
      </c>
      <c r="G193" s="48">
        <v>2655.080359516629</v>
      </c>
      <c r="I193" s="7">
        <v>4.813615981620146</v>
      </c>
      <c r="K193" s="7">
        <v>12.780537251055009</v>
      </c>
      <c r="M193" s="7">
        <v>75.91684401127175</v>
      </c>
      <c r="O193" s="8">
        <v>0.16834916437197284</v>
      </c>
    </row>
    <row r="194" spans="1:15" ht="13.5" customHeight="1">
      <c r="A194" s="2" t="s">
        <v>197</v>
      </c>
      <c r="B194" s="47">
        <v>35789</v>
      </c>
      <c r="C194" s="2">
        <v>17</v>
      </c>
      <c r="D194" s="52">
        <v>55.671166666666664</v>
      </c>
      <c r="E194" s="52">
        <v>171.18616666666668</v>
      </c>
      <c r="F194" s="2">
        <v>100</v>
      </c>
      <c r="G194" s="48">
        <v>2170.579945273298</v>
      </c>
      <c r="I194" s="7">
        <v>2.425699758273437</v>
      </c>
      <c r="K194" s="7">
        <v>5.26517524856261</v>
      </c>
      <c r="M194" s="7">
        <v>56.18117900058236</v>
      </c>
      <c r="O194" s="8">
        <v>0.093717777772304</v>
      </c>
    </row>
    <row r="195" spans="2:13" ht="13.5" customHeight="1">
      <c r="B195" s="47"/>
      <c r="D195" s="52"/>
      <c r="E195" s="52"/>
      <c r="G195" s="48"/>
      <c r="I195" s="7"/>
      <c r="K195" s="7"/>
      <c r="M195" s="7"/>
    </row>
    <row r="196" spans="1:15" ht="13.5" customHeight="1">
      <c r="A196" s="2" t="s">
        <v>197</v>
      </c>
      <c r="B196" s="47">
        <v>35812</v>
      </c>
      <c r="C196" s="2">
        <v>3</v>
      </c>
      <c r="D196" s="52">
        <v>67.78416666666666</v>
      </c>
      <c r="E196" s="52">
        <v>170.11216666666667</v>
      </c>
      <c r="F196" s="2">
        <v>100</v>
      </c>
      <c r="G196" s="48">
        <v>3066.28807267404</v>
      </c>
      <c r="I196" s="7">
        <v>5.204179218842892</v>
      </c>
      <c r="K196" s="7">
        <v>15.957512666796063</v>
      </c>
      <c r="M196" s="7">
        <v>44</v>
      </c>
      <c r="O196" s="8">
        <v>0.3626707424271833</v>
      </c>
    </row>
    <row r="197" spans="1:15" ht="13.5" customHeight="1">
      <c r="A197" s="2" t="s">
        <v>197</v>
      </c>
      <c r="B197" s="47">
        <v>35813</v>
      </c>
      <c r="C197" s="2">
        <v>4</v>
      </c>
      <c r="D197" s="52">
        <v>64.83333333333333</v>
      </c>
      <c r="E197" s="52">
        <v>170.1</v>
      </c>
      <c r="F197" s="2">
        <v>100</v>
      </c>
      <c r="G197" s="48">
        <v>3669.1619640286613</v>
      </c>
      <c r="I197" s="7">
        <v>7.2</v>
      </c>
      <c r="K197" s="7">
        <v>26.41796614100636</v>
      </c>
      <c r="M197" s="7">
        <v>211.5</v>
      </c>
      <c r="O197" s="8">
        <v>0.12490764132863527</v>
      </c>
    </row>
    <row r="198" spans="1:15" ht="13.5" customHeight="1">
      <c r="A198" s="2" t="s">
        <v>197</v>
      </c>
      <c r="B198" s="47">
        <v>35815</v>
      </c>
      <c r="C198" s="2">
        <v>5</v>
      </c>
      <c r="D198" s="52">
        <v>62.03333333333333</v>
      </c>
      <c r="E198" s="52">
        <v>170.1</v>
      </c>
      <c r="F198" s="2">
        <v>100</v>
      </c>
      <c r="G198" s="48">
        <v>3962.299190093069</v>
      </c>
      <c r="I198" s="7">
        <v>5.60574620836248</v>
      </c>
      <c r="J198" s="22">
        <v>22098</v>
      </c>
      <c r="K198" s="7">
        <v>22.21164366126195</v>
      </c>
      <c r="M198" s="7">
        <v>105.8</v>
      </c>
      <c r="O198" s="8">
        <v>0.20993992118395038</v>
      </c>
    </row>
    <row r="199" spans="1:15" ht="13.5" customHeight="1">
      <c r="A199" s="2" t="s">
        <v>197</v>
      </c>
      <c r="B199" s="47">
        <v>35820</v>
      </c>
      <c r="C199" s="2">
        <v>6</v>
      </c>
      <c r="D199" s="52">
        <v>62</v>
      </c>
      <c r="E199" s="52">
        <v>170.1</v>
      </c>
      <c r="F199" s="2">
        <v>100</v>
      </c>
      <c r="G199" s="48">
        <v>2391.3805668139935</v>
      </c>
      <c r="I199" s="7">
        <v>4.436158957617593</v>
      </c>
      <c r="K199" s="7">
        <v>10.608544322544534</v>
      </c>
      <c r="M199" s="7">
        <v>120.3</v>
      </c>
      <c r="O199" s="8">
        <v>0.08818407583162538</v>
      </c>
    </row>
    <row r="200" spans="1:15" ht="13.5" customHeight="1">
      <c r="A200" s="2" t="s">
        <v>197</v>
      </c>
      <c r="B200" s="47">
        <v>35823</v>
      </c>
      <c r="C200" s="2">
        <v>8</v>
      </c>
      <c r="D200" s="52">
        <v>65.16666666666667</v>
      </c>
      <c r="E200" s="52">
        <v>170.1</v>
      </c>
      <c r="F200" s="2">
        <v>100</v>
      </c>
      <c r="G200" s="48">
        <v>4021.238549502642</v>
      </c>
      <c r="I200" s="7">
        <v>9.064923119367412</v>
      </c>
      <c r="K200" s="7">
        <v>36.45221829587798</v>
      </c>
      <c r="M200" s="7">
        <v>139.2</v>
      </c>
      <c r="O200" s="8">
        <v>0.26186938430946827</v>
      </c>
    </row>
    <row r="201" spans="2:13" ht="13.5" customHeight="1">
      <c r="B201" s="47"/>
      <c r="D201" s="52"/>
      <c r="E201" s="52"/>
      <c r="G201" s="48"/>
      <c r="I201" s="7"/>
      <c r="K201" s="7"/>
      <c r="M201" s="7"/>
    </row>
    <row r="202" spans="1:15" ht="13.5" customHeight="1">
      <c r="A202" s="2" t="s">
        <v>197</v>
      </c>
      <c r="B202" s="47">
        <v>35842</v>
      </c>
      <c r="C202" s="2">
        <v>1</v>
      </c>
      <c r="D202" s="52">
        <v>52.9775</v>
      </c>
      <c r="E202" s="52">
        <v>174.733</v>
      </c>
      <c r="F202" s="2">
        <v>100</v>
      </c>
      <c r="G202" s="48">
        <v>2268.4810749890676</v>
      </c>
      <c r="I202" s="7">
        <v>5.75914560471669</v>
      </c>
      <c r="K202" s="7">
        <v>13.064512812406281</v>
      </c>
      <c r="M202" s="7">
        <v>58.358726307648865</v>
      </c>
      <c r="O202" s="8">
        <v>0.2238656262567191</v>
      </c>
    </row>
    <row r="203" spans="1:15" ht="13.5" customHeight="1">
      <c r="A203" s="2" t="s">
        <v>197</v>
      </c>
      <c r="B203" s="47">
        <v>35846</v>
      </c>
      <c r="C203" s="2">
        <v>2</v>
      </c>
      <c r="D203" s="52">
        <v>56.848166666666664</v>
      </c>
      <c r="E203" s="52">
        <v>171.51483333333334</v>
      </c>
      <c r="F203" s="2">
        <v>100</v>
      </c>
      <c r="G203" s="48">
        <v>3746.428489670559</v>
      </c>
      <c r="I203" s="7">
        <v>4.2810788179855725</v>
      </c>
      <c r="K203" s="7">
        <v>16.03875565022631</v>
      </c>
      <c r="M203" s="7">
        <v>28.99250552766163</v>
      </c>
      <c r="O203" s="8">
        <v>0.5532035040891446</v>
      </c>
    </row>
    <row r="204" spans="1:15" ht="13.5" customHeight="1">
      <c r="A204" s="2" t="s">
        <v>197</v>
      </c>
      <c r="B204" s="47">
        <v>35848</v>
      </c>
      <c r="C204" s="2">
        <v>4</v>
      </c>
      <c r="D204" s="52">
        <v>60.233333333333334</v>
      </c>
      <c r="E204" s="52">
        <v>170.06666666666666</v>
      </c>
      <c r="F204" s="2">
        <v>100</v>
      </c>
      <c r="G204" s="48">
        <v>2755.0162519260225</v>
      </c>
      <c r="I204" s="7">
        <v>4.2775654381366275</v>
      </c>
      <c r="K204" s="7">
        <v>11.784762300743465</v>
      </c>
      <c r="M204" s="7">
        <v>20.301859423304986</v>
      </c>
      <c r="O204" s="8">
        <v>0.5804769925268745</v>
      </c>
    </row>
    <row r="205" spans="1:16" ht="13.5" customHeight="1">
      <c r="A205" s="2" t="s">
        <v>197</v>
      </c>
      <c r="B205" s="47">
        <v>35850</v>
      </c>
      <c r="C205" s="2">
        <v>7</v>
      </c>
      <c r="D205" s="52">
        <v>63.083333333333336</v>
      </c>
      <c r="E205" s="52">
        <v>169.88333333333333</v>
      </c>
      <c r="F205" s="2">
        <v>100</v>
      </c>
      <c r="G205" s="48">
        <v>3474.696106169973</v>
      </c>
      <c r="I205" s="7">
        <v>5.042377864606508</v>
      </c>
      <c r="K205" s="7">
        <v>17.5207307319859</v>
      </c>
      <c r="M205" s="7">
        <v>17.483138735676977</v>
      </c>
      <c r="O205" s="8">
        <v>1.002150185780555</v>
      </c>
      <c r="P205" s="2" t="s">
        <v>203</v>
      </c>
    </row>
    <row r="206" spans="1:16" ht="13.5" customHeight="1">
      <c r="A206" s="2" t="s">
        <v>197</v>
      </c>
      <c r="B206" s="47">
        <v>35854</v>
      </c>
      <c r="C206" s="2">
        <v>9</v>
      </c>
      <c r="D206" s="52">
        <v>66.09983333333334</v>
      </c>
      <c r="E206" s="52">
        <v>168.67183333333332</v>
      </c>
      <c r="F206" s="2">
        <v>100</v>
      </c>
      <c r="G206" s="48">
        <v>3788.0652082682527</v>
      </c>
      <c r="I206" s="7">
        <v>5.1298495313569505</v>
      </c>
      <c r="K206" s="7">
        <v>19.432204533384464</v>
      </c>
      <c r="M206" s="7">
        <v>11.928197123935728</v>
      </c>
      <c r="O206" s="8">
        <v>1.629098205829514</v>
      </c>
      <c r="P206" s="2" t="s">
        <v>203</v>
      </c>
    </row>
    <row r="207" spans="1:16" ht="13.5" customHeight="1">
      <c r="A207" s="2" t="s">
        <v>197</v>
      </c>
      <c r="B207" s="47">
        <v>35857</v>
      </c>
      <c r="C207" s="2">
        <v>13</v>
      </c>
      <c r="D207" s="52">
        <v>70.40016666666666</v>
      </c>
      <c r="E207" s="52">
        <v>165.91483333333332</v>
      </c>
      <c r="F207" s="2">
        <v>100</v>
      </c>
      <c r="G207" s="48">
        <v>3369.956155863286</v>
      </c>
      <c r="I207" s="7">
        <v>11.50556495230766</v>
      </c>
      <c r="K207" s="7">
        <v>38.77324943771407</v>
      </c>
      <c r="M207" s="7">
        <v>18.50407114755143</v>
      </c>
      <c r="O207" s="8">
        <v>2.0953902051357374</v>
      </c>
      <c r="P207" s="2" t="s">
        <v>203</v>
      </c>
    </row>
    <row r="208" spans="1:16" ht="13.5" customHeight="1">
      <c r="A208" s="2" t="s">
        <v>197</v>
      </c>
      <c r="B208" s="47">
        <v>35860</v>
      </c>
      <c r="C208" s="2">
        <v>15</v>
      </c>
      <c r="D208" s="52">
        <v>69.3</v>
      </c>
      <c r="E208" s="52">
        <v>168.45</v>
      </c>
      <c r="F208" s="2">
        <v>100</v>
      </c>
      <c r="G208" s="48">
        <v>2898.880845248888</v>
      </c>
      <c r="I208" s="7">
        <v>16.85012911184825</v>
      </c>
      <c r="K208" s="7">
        <v>48.84651652230755</v>
      </c>
      <c r="M208" s="7">
        <v>16.931049381635745</v>
      </c>
      <c r="O208" s="8">
        <v>2.8850259320186558</v>
      </c>
      <c r="P208" s="2" t="s">
        <v>203</v>
      </c>
    </row>
    <row r="209" spans="1:16" ht="13.5" customHeight="1">
      <c r="A209" s="2" t="s">
        <v>197</v>
      </c>
      <c r="B209" s="47">
        <v>35862</v>
      </c>
      <c r="C209" s="2">
        <v>18</v>
      </c>
      <c r="D209" s="52">
        <v>64.7</v>
      </c>
      <c r="E209" s="52">
        <v>169.33333333333334</v>
      </c>
      <c r="F209" s="2">
        <v>100</v>
      </c>
      <c r="G209" s="48">
        <v>2527.99333567933</v>
      </c>
      <c r="I209" s="7">
        <v>6.0419375744163375</v>
      </c>
      <c r="K209" s="7">
        <v>15.273977922715035</v>
      </c>
      <c r="M209" s="7">
        <v>12.503261264611826</v>
      </c>
      <c r="O209" s="8">
        <v>1.2215995170752139</v>
      </c>
      <c r="P209" s="2" t="s">
        <v>203</v>
      </c>
    </row>
    <row r="210" spans="1:15" ht="13.5" customHeight="1">
      <c r="A210" s="2" t="s">
        <v>197</v>
      </c>
      <c r="B210" s="47">
        <v>35865</v>
      </c>
      <c r="C210" s="2">
        <v>20</v>
      </c>
      <c r="D210" s="52">
        <v>61.666666666666664</v>
      </c>
      <c r="E210" s="52">
        <v>170.1</v>
      </c>
      <c r="F210" s="2">
        <v>100</v>
      </c>
      <c r="G210" s="48">
        <v>1397.530707628357</v>
      </c>
      <c r="I210" s="7">
        <v>2.992252355895945</v>
      </c>
      <c r="K210" s="7">
        <v>4.181764552337878</v>
      </c>
      <c r="M210" s="7">
        <v>14.458621646968714</v>
      </c>
      <c r="O210" s="8">
        <v>0.2892229048136546</v>
      </c>
    </row>
    <row r="211" spans="1:15" ht="13.5" customHeight="1">
      <c r="A211" s="2" t="s">
        <v>197</v>
      </c>
      <c r="B211" s="47">
        <v>35869</v>
      </c>
      <c r="C211" s="2">
        <v>29</v>
      </c>
      <c r="D211" s="52">
        <v>54.33316666666666</v>
      </c>
      <c r="E211" s="52">
        <v>173.33333333333334</v>
      </c>
      <c r="F211" s="2">
        <v>100</v>
      </c>
      <c r="G211" s="48">
        <v>2622.2938379437232</v>
      </c>
      <c r="I211" s="7">
        <v>1.8700107929772376</v>
      </c>
      <c r="K211" s="7">
        <v>4.9037177793124656</v>
      </c>
      <c r="M211" s="7">
        <v>19.20137067133239</v>
      </c>
      <c r="O211" s="8">
        <v>0.2553837360493075</v>
      </c>
    </row>
    <row r="212" ht="13.5" customHeight="1">
      <c r="D212" s="53"/>
    </row>
    <row r="213" ht="13.5" customHeight="1"/>
    <row r="214" spans="1:17" ht="13.5" customHeight="1">
      <c r="A214" s="2" t="s">
        <v>197</v>
      </c>
      <c r="B214" s="2" t="s">
        <v>204</v>
      </c>
      <c r="C214" s="2" t="s">
        <v>205</v>
      </c>
      <c r="D214" s="54" t="s">
        <v>206</v>
      </c>
      <c r="E214" s="2">
        <v>170</v>
      </c>
      <c r="F214" s="2">
        <v>100</v>
      </c>
      <c r="G214" s="2" t="s">
        <v>207</v>
      </c>
      <c r="I214" s="2" t="s">
        <v>208</v>
      </c>
      <c r="K214" s="7">
        <v>6.8</v>
      </c>
      <c r="L214" s="7" t="s">
        <v>209</v>
      </c>
      <c r="M214" s="7">
        <v>42.8</v>
      </c>
      <c r="N214" s="2" t="s">
        <v>209</v>
      </c>
      <c r="O214" s="8">
        <v>0.16</v>
      </c>
      <c r="Q214" s="2" t="s">
        <v>210</v>
      </c>
    </row>
    <row r="215" spans="1:15" ht="13.5" customHeight="1">
      <c r="A215" s="2" t="s">
        <v>197</v>
      </c>
      <c r="B215" s="2" t="s">
        <v>204</v>
      </c>
      <c r="C215" s="2" t="s">
        <v>211</v>
      </c>
      <c r="D215" s="54" t="s">
        <v>212</v>
      </c>
      <c r="E215" s="2">
        <v>170</v>
      </c>
      <c r="F215" s="2">
        <v>100</v>
      </c>
      <c r="K215" s="7">
        <v>8.1</v>
      </c>
      <c r="M215" s="7">
        <v>30.2</v>
      </c>
      <c r="O215" s="8">
        <v>0.27</v>
      </c>
    </row>
    <row r="216" spans="1:16" ht="13.5" customHeight="1">
      <c r="A216" s="2" t="s">
        <v>197</v>
      </c>
      <c r="B216" s="2" t="s">
        <v>204</v>
      </c>
      <c r="C216" s="2" t="s">
        <v>213</v>
      </c>
      <c r="D216" s="54" t="s">
        <v>214</v>
      </c>
      <c r="E216" s="2">
        <v>170</v>
      </c>
      <c r="F216" s="2">
        <v>100</v>
      </c>
      <c r="K216" s="7">
        <v>13.7</v>
      </c>
      <c r="L216" s="7" t="s">
        <v>215</v>
      </c>
      <c r="M216" s="7">
        <v>36.4</v>
      </c>
      <c r="N216" s="2" t="s">
        <v>216</v>
      </c>
      <c r="O216" s="8">
        <v>0.38</v>
      </c>
      <c r="P216" s="2" t="s">
        <v>217</v>
      </c>
    </row>
    <row r="217" spans="1:16" ht="13.5" customHeight="1">
      <c r="A217" s="2" t="s">
        <v>197</v>
      </c>
      <c r="B217" s="2" t="s">
        <v>204</v>
      </c>
      <c r="C217" s="2" t="s">
        <v>218</v>
      </c>
      <c r="D217" s="54" t="s">
        <v>219</v>
      </c>
      <c r="E217" s="2">
        <v>170</v>
      </c>
      <c r="F217" s="2">
        <v>100</v>
      </c>
      <c r="K217" s="7">
        <v>13.9</v>
      </c>
      <c r="M217" s="7">
        <v>38.5</v>
      </c>
      <c r="N217" s="2" t="s">
        <v>216</v>
      </c>
      <c r="O217" s="8">
        <v>0.36</v>
      </c>
      <c r="P217" s="2" t="s">
        <v>217</v>
      </c>
    </row>
    <row r="218" spans="1:16" ht="13.5" customHeight="1">
      <c r="A218" s="2" t="s">
        <v>197</v>
      </c>
      <c r="B218" s="2" t="s">
        <v>204</v>
      </c>
      <c r="C218" s="2" t="s">
        <v>220</v>
      </c>
      <c r="D218" s="54" t="s">
        <v>221</v>
      </c>
      <c r="E218" s="2">
        <v>170</v>
      </c>
      <c r="F218" s="2">
        <v>100</v>
      </c>
      <c r="K218" s="7">
        <v>12.3</v>
      </c>
      <c r="M218" s="7">
        <v>19.2</v>
      </c>
      <c r="N218" s="2" t="s">
        <v>222</v>
      </c>
      <c r="O218" s="8">
        <v>0.64</v>
      </c>
      <c r="P218" s="2" t="s">
        <v>223</v>
      </c>
    </row>
    <row r="219" spans="1:16" ht="13.5" customHeight="1">
      <c r="A219" s="2" t="s">
        <v>197</v>
      </c>
      <c r="B219" s="2" t="s">
        <v>204</v>
      </c>
      <c r="C219" s="2" t="s">
        <v>224</v>
      </c>
      <c r="D219" s="54" t="s">
        <v>225</v>
      </c>
      <c r="E219" s="2">
        <v>170</v>
      </c>
      <c r="F219" s="2">
        <v>100</v>
      </c>
      <c r="K219" s="7">
        <v>10.1</v>
      </c>
      <c r="M219" s="7">
        <v>19.3</v>
      </c>
      <c r="N219" s="2" t="s">
        <v>222</v>
      </c>
      <c r="O219" s="8">
        <v>0.52</v>
      </c>
      <c r="P219" s="2" t="s">
        <v>223</v>
      </c>
    </row>
    <row r="220" ht="13.5" customHeight="1"/>
    <row r="221" spans="10:15" s="23" customFormat="1" ht="13.5" customHeight="1">
      <c r="J221" s="19"/>
      <c r="L221" s="24"/>
      <c r="O221" s="25"/>
    </row>
    <row r="222" spans="5:17" s="54" customFormat="1" ht="13.5" customHeight="1">
      <c r="E222" s="2" t="s">
        <v>196</v>
      </c>
      <c r="J222" s="26"/>
      <c r="L222" s="55"/>
      <c r="O222" s="56"/>
      <c r="Q222" s="27" t="s">
        <v>226</v>
      </c>
    </row>
    <row r="223" spans="1:15" s="27" customFormat="1" ht="50.25" customHeight="1">
      <c r="A223" s="27" t="s">
        <v>227</v>
      </c>
      <c r="B223" s="40">
        <v>35490</v>
      </c>
      <c r="C223" s="27">
        <v>7</v>
      </c>
      <c r="D223" s="42">
        <f>42+(30/60)</f>
        <v>42.5</v>
      </c>
      <c r="E223" s="42">
        <f>69+(43.7/60)</f>
        <v>69.72833333333334</v>
      </c>
      <c r="F223" s="27">
        <v>50</v>
      </c>
      <c r="G223" s="35">
        <f>1460</f>
        <v>1460</v>
      </c>
      <c r="H223" s="2" t="s">
        <v>228</v>
      </c>
      <c r="I223" s="35">
        <f>K223/G223*1000</f>
        <v>10.273972602739725</v>
      </c>
      <c r="J223" s="6" t="s">
        <v>229</v>
      </c>
      <c r="K223" s="35">
        <v>15</v>
      </c>
      <c r="L223" s="34"/>
      <c r="M223" s="6">
        <v>66.2</v>
      </c>
      <c r="N223" s="6" t="s">
        <v>230</v>
      </c>
      <c r="O223" s="18" t="s">
        <v>231</v>
      </c>
    </row>
    <row r="224" spans="1:13" ht="12.75">
      <c r="A224" s="27" t="s">
        <v>227</v>
      </c>
      <c r="B224" s="40">
        <v>35521</v>
      </c>
      <c r="C224" s="27">
        <v>7</v>
      </c>
      <c r="D224" s="42">
        <f>42+(29.9/60)</f>
        <v>42.498333333333335</v>
      </c>
      <c r="E224" s="42">
        <f>69+(45.1/60)</f>
        <v>69.75166666666667</v>
      </c>
      <c r="F224" s="27">
        <v>50</v>
      </c>
      <c r="G224" s="2">
        <v>18</v>
      </c>
      <c r="H224" s="2" t="s">
        <v>232</v>
      </c>
      <c r="I224" s="35">
        <f>K224/G224*1000</f>
        <v>16.666666666666668</v>
      </c>
      <c r="K224" s="2">
        <v>0.3</v>
      </c>
      <c r="M224" s="2">
        <v>29.2</v>
      </c>
    </row>
    <row r="225" spans="1:11" ht="12.75">
      <c r="A225" s="27" t="s">
        <v>227</v>
      </c>
      <c r="B225" s="40">
        <v>35612</v>
      </c>
      <c r="C225" s="27">
        <v>7</v>
      </c>
      <c r="D225" s="42">
        <f>42+(29.1/60)</f>
        <v>42.485</v>
      </c>
      <c r="E225" s="42">
        <f>69+(44.1/60)</f>
        <v>69.735</v>
      </c>
      <c r="F225" s="27">
        <v>50</v>
      </c>
      <c r="G225" s="2">
        <v>574</v>
      </c>
      <c r="H225" s="2" t="s">
        <v>228</v>
      </c>
      <c r="I225" s="35">
        <f>K225/G225*1000</f>
        <v>12.195121951219512</v>
      </c>
      <c r="K225" s="2">
        <v>7</v>
      </c>
    </row>
    <row r="226" spans="1:11" ht="12.75">
      <c r="A226" s="27" t="s">
        <v>227</v>
      </c>
      <c r="B226" s="40">
        <v>35643</v>
      </c>
      <c r="C226" s="27">
        <v>7</v>
      </c>
      <c r="D226" s="42">
        <f>42+(29.5/60)</f>
        <v>42.49166666666667</v>
      </c>
      <c r="E226" s="42">
        <f>69+(42.8/60)</f>
        <v>69.71333333333334</v>
      </c>
      <c r="F226" s="27">
        <v>50</v>
      </c>
      <c r="G226" s="2">
        <v>1141</v>
      </c>
      <c r="H226" s="2" t="s">
        <v>232</v>
      </c>
      <c r="I226" s="35">
        <f>K226/G226*1000</f>
        <v>31.551270815074492</v>
      </c>
      <c r="K226" s="2">
        <v>36</v>
      </c>
    </row>
    <row r="227" spans="2:15" s="23" customFormat="1" ht="12.75">
      <c r="B227" s="57"/>
      <c r="J227" s="19"/>
      <c r="L227" s="24"/>
      <c r="O227" s="25"/>
    </row>
    <row r="228" spans="2:15" s="54" customFormat="1" ht="12.75">
      <c r="B228" s="58"/>
      <c r="J228" s="26"/>
      <c r="L228" s="55"/>
      <c r="O228" s="56"/>
    </row>
    <row r="229" spans="1:17" ht="25.5">
      <c r="A229" s="2" t="s">
        <v>233</v>
      </c>
      <c r="B229" s="47">
        <v>35356</v>
      </c>
      <c r="C229" s="2" t="s">
        <v>234</v>
      </c>
      <c r="D229" s="7">
        <v>-76.4</v>
      </c>
      <c r="E229" s="2" t="s">
        <v>235</v>
      </c>
      <c r="F229" s="2">
        <v>100</v>
      </c>
      <c r="G229" s="2">
        <v>500</v>
      </c>
      <c r="H229" s="2" t="s">
        <v>228</v>
      </c>
      <c r="I229" s="7">
        <f>K229/G229*1000</f>
        <v>3.2</v>
      </c>
      <c r="J229" s="6" t="s">
        <v>236</v>
      </c>
      <c r="K229" s="7">
        <v>1.6</v>
      </c>
      <c r="M229" s="2">
        <v>34</v>
      </c>
      <c r="N229" s="2" t="s">
        <v>237</v>
      </c>
      <c r="O229" s="8">
        <f>+K229/M229</f>
        <v>0.047058823529411764</v>
      </c>
      <c r="Q229" s="2" t="s">
        <v>238</v>
      </c>
    </row>
    <row r="230" spans="1:15" ht="12.75">
      <c r="A230" s="2" t="s">
        <v>233</v>
      </c>
      <c r="B230" s="47">
        <v>35371</v>
      </c>
      <c r="C230" s="2" t="s">
        <v>239</v>
      </c>
      <c r="D230" s="7">
        <v>-76.4</v>
      </c>
      <c r="E230" s="2" t="s">
        <v>235</v>
      </c>
      <c r="F230" s="2">
        <v>100</v>
      </c>
      <c r="G230" s="2">
        <v>200</v>
      </c>
      <c r="H230" s="2" t="s">
        <v>228</v>
      </c>
      <c r="I230" s="7">
        <f>K230/G230*1000</f>
        <v>19.5</v>
      </c>
      <c r="K230" s="7">
        <v>3.9</v>
      </c>
      <c r="M230" s="2">
        <v>34</v>
      </c>
      <c r="N230" s="2" t="s">
        <v>240</v>
      </c>
      <c r="O230" s="8">
        <f>+K230/M230</f>
        <v>0.11470588235294117</v>
      </c>
    </row>
    <row r="231" spans="1:15" ht="12.75">
      <c r="A231" s="2" t="s">
        <v>233</v>
      </c>
      <c r="B231" s="47">
        <v>35361</v>
      </c>
      <c r="C231" s="2" t="s">
        <v>241</v>
      </c>
      <c r="D231" s="7">
        <v>-76.4</v>
      </c>
      <c r="E231" s="2" t="s">
        <v>242</v>
      </c>
      <c r="F231" s="2">
        <v>100</v>
      </c>
      <c r="G231" s="2">
        <v>-300</v>
      </c>
      <c r="I231" s="7">
        <f>K231/G231*1000</f>
        <v>5.666666666666666</v>
      </c>
      <c r="K231" s="7">
        <v>-1.7</v>
      </c>
      <c r="M231" s="2">
        <v>5.4</v>
      </c>
      <c r="O231" s="8">
        <f>+K231/M231</f>
        <v>-0.31481481481481477</v>
      </c>
    </row>
    <row r="232" spans="2:11" ht="12.75">
      <c r="B232" s="47"/>
      <c r="D232" s="7"/>
      <c r="K232" s="7"/>
    </row>
    <row r="233" spans="1:15" ht="12.75">
      <c r="A233" s="2" t="s">
        <v>233</v>
      </c>
      <c r="B233" s="47">
        <v>35449</v>
      </c>
      <c r="C233" s="2" t="s">
        <v>234</v>
      </c>
      <c r="D233" s="7">
        <v>-76.4</v>
      </c>
      <c r="E233" s="2" t="s">
        <v>235</v>
      </c>
      <c r="F233" s="2">
        <v>100</v>
      </c>
      <c r="G233" s="2">
        <v>800</v>
      </c>
      <c r="H233" s="2" t="s">
        <v>228</v>
      </c>
      <c r="I233" s="7">
        <f>K233/G233*1000</f>
        <v>9.250000000000002</v>
      </c>
      <c r="K233" s="7">
        <v>7.4</v>
      </c>
      <c r="M233" s="2">
        <v>45</v>
      </c>
      <c r="O233" s="8">
        <f>+K233/M233</f>
        <v>0.16444444444444445</v>
      </c>
    </row>
    <row r="234" spans="1:15" ht="12.75">
      <c r="A234" s="2" t="s">
        <v>233</v>
      </c>
      <c r="B234" s="47">
        <v>35462</v>
      </c>
      <c r="C234" s="2" t="s">
        <v>239</v>
      </c>
      <c r="D234" s="7">
        <v>-76.4</v>
      </c>
      <c r="E234" s="2" t="s">
        <v>235</v>
      </c>
      <c r="F234" s="2">
        <v>100</v>
      </c>
      <c r="G234" s="2">
        <v>1800</v>
      </c>
      <c r="I234" s="7">
        <f>K234/G234*1000</f>
        <v>17.888888888888893</v>
      </c>
      <c r="K234" s="7">
        <v>32.2</v>
      </c>
      <c r="M234" s="2">
        <v>45</v>
      </c>
      <c r="O234" s="8">
        <f>+K234/M234</f>
        <v>0.7155555555555556</v>
      </c>
    </row>
    <row r="235" spans="1:15" ht="12.75">
      <c r="A235" s="2" t="s">
        <v>233</v>
      </c>
      <c r="B235" s="47">
        <v>35443</v>
      </c>
      <c r="C235" s="2" t="s">
        <v>241</v>
      </c>
      <c r="D235" s="7">
        <v>-76.4</v>
      </c>
      <c r="E235" s="2" t="s">
        <v>242</v>
      </c>
      <c r="F235" s="2">
        <v>100</v>
      </c>
      <c r="G235" s="2">
        <v>1800</v>
      </c>
      <c r="I235" s="7">
        <f>K235/G235*1000</f>
        <v>16.61111111111111</v>
      </c>
      <c r="K235" s="7">
        <v>29.9</v>
      </c>
      <c r="M235" s="2">
        <v>89</v>
      </c>
      <c r="N235" s="2" t="s">
        <v>243</v>
      </c>
      <c r="O235" s="8">
        <f>+K235/M235</f>
        <v>0.3359550561797753</v>
      </c>
    </row>
    <row r="236" spans="1:16" ht="12.75">
      <c r="A236" s="2" t="s">
        <v>233</v>
      </c>
      <c r="B236" s="47">
        <v>35469</v>
      </c>
      <c r="C236" s="2" t="s">
        <v>244</v>
      </c>
      <c r="D236" s="7">
        <v>-76.4</v>
      </c>
      <c r="E236" s="2" t="s">
        <v>242</v>
      </c>
      <c r="F236" s="2">
        <v>100</v>
      </c>
      <c r="G236" s="2">
        <v>2600</v>
      </c>
      <c r="I236" s="7">
        <f>K236/G236*1000</f>
        <v>35</v>
      </c>
      <c r="K236" s="7">
        <v>91</v>
      </c>
      <c r="M236" s="2">
        <v>89</v>
      </c>
      <c r="N236" s="2" t="s">
        <v>245</v>
      </c>
      <c r="O236" s="8">
        <f>+K236/M236</f>
        <v>1.0224719101123596</v>
      </c>
      <c r="P236" s="2" t="s">
        <v>246</v>
      </c>
    </row>
    <row r="237" spans="1:15" ht="13.5" customHeight="1">
      <c r="A237" s="2" t="s">
        <v>233</v>
      </c>
      <c r="B237" s="47">
        <v>35454</v>
      </c>
      <c r="C237" s="2" t="s">
        <v>247</v>
      </c>
      <c r="D237" s="7">
        <v>-74</v>
      </c>
      <c r="E237" s="2" t="s">
        <v>248</v>
      </c>
      <c r="F237" s="2">
        <v>100</v>
      </c>
      <c r="G237" s="2">
        <v>1900</v>
      </c>
      <c r="I237" s="7">
        <f>K237/G237*1000</f>
        <v>6.263157894736842</v>
      </c>
      <c r="K237" s="7">
        <v>11.9</v>
      </c>
      <c r="M237" s="2">
        <v>50</v>
      </c>
      <c r="O237" s="8">
        <f>+K237/M237</f>
        <v>0.23800000000000002</v>
      </c>
    </row>
    <row r="238" spans="2:11" ht="13.5" customHeight="1">
      <c r="B238" s="47"/>
      <c r="D238" s="7"/>
      <c r="K238" s="7"/>
    </row>
    <row r="239" spans="1:16" ht="13.5" customHeight="1">
      <c r="A239" s="2" t="s">
        <v>233</v>
      </c>
      <c r="B239" s="47">
        <v>35534</v>
      </c>
      <c r="C239" s="2" t="s">
        <v>234</v>
      </c>
      <c r="D239" s="7">
        <v>-76.4</v>
      </c>
      <c r="E239" s="2" t="s">
        <v>235</v>
      </c>
      <c r="F239" s="2">
        <v>100</v>
      </c>
      <c r="G239" s="2">
        <v>1000</v>
      </c>
      <c r="H239" s="2" t="s">
        <v>228</v>
      </c>
      <c r="I239" s="7">
        <f aca="true" t="shared" si="2" ref="I239:I244">K239/G239*1000</f>
        <v>14.2</v>
      </c>
      <c r="K239" s="7">
        <v>14.2</v>
      </c>
      <c r="M239" s="2">
        <v>3</v>
      </c>
      <c r="O239" s="8">
        <f aca="true" t="shared" si="3" ref="O239:O244">+K239/M239</f>
        <v>4.733333333333333</v>
      </c>
      <c r="P239" s="2" t="s">
        <v>200</v>
      </c>
    </row>
    <row r="240" spans="1:16" ht="13.5" customHeight="1">
      <c r="A240" s="2" t="s">
        <v>233</v>
      </c>
      <c r="B240" s="47">
        <v>35543</v>
      </c>
      <c r="C240" s="2" t="s">
        <v>239</v>
      </c>
      <c r="D240" s="7">
        <v>-76.4</v>
      </c>
      <c r="E240" s="2" t="s">
        <v>235</v>
      </c>
      <c r="F240" s="2">
        <v>100</v>
      </c>
      <c r="G240" s="2">
        <v>800</v>
      </c>
      <c r="I240" s="7">
        <f t="shared" si="2"/>
        <v>4</v>
      </c>
      <c r="K240" s="7">
        <v>3.2</v>
      </c>
      <c r="M240" s="2">
        <v>3</v>
      </c>
      <c r="O240" s="8">
        <f t="shared" si="3"/>
        <v>1.0666666666666667</v>
      </c>
      <c r="P240" s="2" t="s">
        <v>200</v>
      </c>
    </row>
    <row r="241" spans="1:16" ht="13.5" customHeight="1">
      <c r="A241" s="2" t="s">
        <v>233</v>
      </c>
      <c r="B241" s="47">
        <v>35538</v>
      </c>
      <c r="C241" s="2" t="s">
        <v>241</v>
      </c>
      <c r="D241" s="7">
        <v>-76.4</v>
      </c>
      <c r="E241" s="2" t="s">
        <v>242</v>
      </c>
      <c r="F241" s="2">
        <v>100</v>
      </c>
      <c r="G241" s="2">
        <v>2500</v>
      </c>
      <c r="I241" s="7">
        <f t="shared" si="2"/>
        <v>7.559999999999999</v>
      </c>
      <c r="K241" s="7">
        <v>18.9</v>
      </c>
      <c r="M241" s="2">
        <v>3</v>
      </c>
      <c r="O241" s="8">
        <f t="shared" si="3"/>
        <v>6.3</v>
      </c>
      <c r="P241" s="2" t="s">
        <v>200</v>
      </c>
    </row>
    <row r="242" spans="1:16" ht="13.5" customHeight="1">
      <c r="A242" s="2" t="s">
        <v>233</v>
      </c>
      <c r="B242" s="47">
        <v>35547</v>
      </c>
      <c r="C242" s="2" t="s">
        <v>244</v>
      </c>
      <c r="D242" s="7">
        <v>-76.4</v>
      </c>
      <c r="E242" s="2" t="s">
        <v>242</v>
      </c>
      <c r="F242" s="2">
        <v>100</v>
      </c>
      <c r="G242" s="2">
        <v>1400</v>
      </c>
      <c r="I242" s="7">
        <f t="shared" si="2"/>
        <v>6.071428571428571</v>
      </c>
      <c r="K242" s="7">
        <v>8.5</v>
      </c>
      <c r="M242" s="2">
        <v>3</v>
      </c>
      <c r="O242" s="8">
        <f t="shared" si="3"/>
        <v>2.8333333333333335</v>
      </c>
      <c r="P242" s="2" t="s">
        <v>200</v>
      </c>
    </row>
    <row r="243" spans="1:16" ht="13.5" customHeight="1">
      <c r="A243" s="2" t="s">
        <v>233</v>
      </c>
      <c r="B243" s="47">
        <v>35533</v>
      </c>
      <c r="C243" s="2" t="s">
        <v>247</v>
      </c>
      <c r="D243" s="7">
        <v>-74</v>
      </c>
      <c r="E243" s="2" t="s">
        <v>248</v>
      </c>
      <c r="F243" s="2">
        <v>100</v>
      </c>
      <c r="G243" s="2">
        <v>1800</v>
      </c>
      <c r="I243" s="7">
        <f t="shared" si="2"/>
        <v>12.055555555555555</v>
      </c>
      <c r="K243" s="7">
        <v>21.7</v>
      </c>
      <c r="M243" s="2">
        <v>3</v>
      </c>
      <c r="O243" s="8">
        <f t="shared" si="3"/>
        <v>7.233333333333333</v>
      </c>
      <c r="P243" s="2" t="s">
        <v>200</v>
      </c>
    </row>
    <row r="244" spans="1:16" ht="13.5" customHeight="1">
      <c r="A244" s="2" t="s">
        <v>233</v>
      </c>
      <c r="B244" s="47">
        <v>35550</v>
      </c>
      <c r="C244" s="2" t="s">
        <v>249</v>
      </c>
      <c r="D244" s="7">
        <v>-74</v>
      </c>
      <c r="E244" s="2" t="s">
        <v>248</v>
      </c>
      <c r="F244" s="2">
        <v>100</v>
      </c>
      <c r="G244" s="2">
        <v>900</v>
      </c>
      <c r="I244" s="7">
        <f t="shared" si="2"/>
        <v>2.5555555555555554</v>
      </c>
      <c r="K244" s="7">
        <v>2.3</v>
      </c>
      <c r="M244" s="2">
        <v>3</v>
      </c>
      <c r="O244" s="8">
        <f t="shared" si="3"/>
        <v>0.7666666666666666</v>
      </c>
      <c r="P244" s="2" t="s">
        <v>200</v>
      </c>
    </row>
    <row r="245" ht="13.5" customHeight="1">
      <c r="B245" s="47"/>
    </row>
    <row r="246" spans="1:15" ht="27.75" customHeight="1">
      <c r="A246" s="2" t="s">
        <v>233</v>
      </c>
      <c r="B246" s="2" t="s">
        <v>250</v>
      </c>
      <c r="C246" s="2" t="s">
        <v>251</v>
      </c>
      <c r="D246" s="7">
        <v>-76.4</v>
      </c>
      <c r="E246" s="2" t="s">
        <v>235</v>
      </c>
      <c r="F246" s="2">
        <v>100</v>
      </c>
      <c r="G246" s="2">
        <v>-200</v>
      </c>
      <c r="H246" s="2" t="s">
        <v>252</v>
      </c>
      <c r="I246" s="2">
        <v>10</v>
      </c>
      <c r="J246" s="51" t="s">
        <v>253</v>
      </c>
      <c r="K246" s="48">
        <v>-2.2</v>
      </c>
      <c r="M246" s="2">
        <v>34</v>
      </c>
      <c r="N246" s="6" t="s">
        <v>254</v>
      </c>
      <c r="O246" s="8">
        <f aca="true" t="shared" si="4" ref="O246:O263">+K246/M246</f>
        <v>-0.06470588235294118</v>
      </c>
    </row>
    <row r="247" spans="1:15" ht="13.5" customHeight="1">
      <c r="A247" s="2" t="s">
        <v>233</v>
      </c>
      <c r="B247" s="2" t="s">
        <v>255</v>
      </c>
      <c r="F247" s="2">
        <v>100</v>
      </c>
      <c r="G247" s="2">
        <v>1000</v>
      </c>
      <c r="I247" s="2">
        <v>12.8</v>
      </c>
      <c r="K247" s="48">
        <v>13</v>
      </c>
      <c r="M247" s="2">
        <f>+(M246+M248)/2</f>
        <v>39.5</v>
      </c>
      <c r="O247" s="8">
        <f t="shared" si="4"/>
        <v>0.3291139240506329</v>
      </c>
    </row>
    <row r="248" spans="1:15" ht="13.5" customHeight="1">
      <c r="A248" s="2" t="s">
        <v>233</v>
      </c>
      <c r="B248" s="2" t="s">
        <v>256</v>
      </c>
      <c r="F248" s="2">
        <v>100</v>
      </c>
      <c r="G248" s="2">
        <v>3700</v>
      </c>
      <c r="I248" s="2">
        <v>13.5</v>
      </c>
      <c r="K248" s="48">
        <v>50</v>
      </c>
      <c r="M248" s="2">
        <v>45</v>
      </c>
      <c r="O248" s="8">
        <f t="shared" si="4"/>
        <v>1.1111111111111112</v>
      </c>
    </row>
    <row r="249" spans="1:15" ht="13.5" customHeight="1">
      <c r="A249" s="2" t="s">
        <v>233</v>
      </c>
      <c r="B249" s="2" t="s">
        <v>257</v>
      </c>
      <c r="F249" s="2">
        <v>100</v>
      </c>
      <c r="G249" s="2">
        <v>900</v>
      </c>
      <c r="I249" s="2">
        <v>16.2</v>
      </c>
      <c r="K249" s="48">
        <v>15</v>
      </c>
      <c r="M249" s="2">
        <f>+(M248+M250)/2</f>
        <v>24</v>
      </c>
      <c r="O249" s="8">
        <f t="shared" si="4"/>
        <v>0.625</v>
      </c>
    </row>
    <row r="250" spans="1:15" ht="13.5" customHeight="1">
      <c r="A250" s="2" t="s">
        <v>233</v>
      </c>
      <c r="B250" s="2" t="s">
        <v>258</v>
      </c>
      <c r="F250" s="2">
        <v>100</v>
      </c>
      <c r="G250" s="2">
        <v>300</v>
      </c>
      <c r="I250" s="2">
        <v>9.3</v>
      </c>
      <c r="K250" s="48">
        <v>2.5</v>
      </c>
      <c r="M250" s="2">
        <v>3</v>
      </c>
      <c r="O250" s="8">
        <f t="shared" si="4"/>
        <v>0.8333333333333334</v>
      </c>
    </row>
    <row r="251" spans="2:16" ht="13.5" customHeight="1">
      <c r="B251" s="2" t="s">
        <v>259</v>
      </c>
      <c r="F251" s="2">
        <v>100</v>
      </c>
      <c r="G251" s="48">
        <f>((0*15)+(78*G247)+(13*G248)+(72*G249)+(9*G250))/187</f>
        <v>1035.2941176470588</v>
      </c>
      <c r="H251" s="2" t="s">
        <v>260</v>
      </c>
      <c r="I251" s="48">
        <f>((15*I246)+(78*I247)+(13*I248)+(72*I249)+(9*I250))/187</f>
        <v>13.764705882352942</v>
      </c>
      <c r="J251" s="2" t="s">
        <v>260</v>
      </c>
      <c r="K251" s="48">
        <f>((0*15)+(78*K247)+(13*K248)+(72*K249)+(9*K250))/187</f>
        <v>14.794117647058824</v>
      </c>
      <c r="L251" s="2" t="s">
        <v>260</v>
      </c>
      <c r="M251" s="48">
        <f>((15*M246)+(78*M247)+(13*M248)+(72*M249)+(9*M250))/187</f>
        <v>31.71657754010695</v>
      </c>
      <c r="N251" s="2" t="s">
        <v>260</v>
      </c>
      <c r="O251" s="8">
        <f t="shared" si="4"/>
        <v>0.4664474793458102</v>
      </c>
      <c r="P251" s="2" t="s">
        <v>260</v>
      </c>
    </row>
    <row r="252" ht="13.5" customHeight="1">
      <c r="K252" s="48"/>
    </row>
    <row r="253" spans="1:15" ht="36.75" customHeight="1">
      <c r="A253" s="2" t="s">
        <v>233</v>
      </c>
      <c r="B253" s="2" t="s">
        <v>261</v>
      </c>
      <c r="C253" s="2" t="s">
        <v>262</v>
      </c>
      <c r="D253" s="7">
        <v>-76.4</v>
      </c>
      <c r="E253" s="2" t="s">
        <v>242</v>
      </c>
      <c r="F253" s="2">
        <v>100</v>
      </c>
      <c r="G253" s="2">
        <v>2100</v>
      </c>
      <c r="I253" s="2">
        <v>11.1</v>
      </c>
      <c r="K253" s="48">
        <v>23</v>
      </c>
      <c r="M253" s="2">
        <f>+(M231+M233)/2</f>
        <v>25.2</v>
      </c>
      <c r="N253" s="6" t="s">
        <v>263</v>
      </c>
      <c r="O253" s="8">
        <f t="shared" si="4"/>
        <v>0.9126984126984127</v>
      </c>
    </row>
    <row r="254" spans="1:15" ht="13.5" customHeight="1">
      <c r="A254" s="2" t="s">
        <v>233</v>
      </c>
      <c r="B254" s="2" t="s">
        <v>264</v>
      </c>
      <c r="F254" s="2">
        <v>100</v>
      </c>
      <c r="G254" s="2">
        <v>3300</v>
      </c>
      <c r="I254" s="2">
        <v>25.5</v>
      </c>
      <c r="K254" s="48">
        <v>85</v>
      </c>
      <c r="M254" s="2">
        <v>89</v>
      </c>
      <c r="O254" s="8">
        <f t="shared" si="4"/>
        <v>0.9550561797752809</v>
      </c>
    </row>
    <row r="255" spans="1:15" ht="13.5" customHeight="1">
      <c r="A255" s="2" t="s">
        <v>233</v>
      </c>
      <c r="B255" s="2" t="s">
        <v>265</v>
      </c>
      <c r="F255" s="2">
        <v>100</v>
      </c>
      <c r="G255" s="2">
        <v>2500</v>
      </c>
      <c r="I255" s="2">
        <v>21.1</v>
      </c>
      <c r="K255" s="48">
        <v>54</v>
      </c>
      <c r="M255" s="2">
        <f>+(M254+M256)/2</f>
        <v>46</v>
      </c>
      <c r="O255" s="8">
        <f t="shared" si="4"/>
        <v>1.173913043478261</v>
      </c>
    </row>
    <row r="256" spans="1:15" ht="13.5" customHeight="1">
      <c r="A256" s="2" t="s">
        <v>233</v>
      </c>
      <c r="B256" s="2" t="s">
        <v>266</v>
      </c>
      <c r="F256" s="2">
        <v>100</v>
      </c>
      <c r="G256" s="2">
        <v>-3200</v>
      </c>
      <c r="I256" s="2">
        <v>6.7</v>
      </c>
      <c r="K256" s="48">
        <v>-22</v>
      </c>
      <c r="M256" s="2">
        <v>3</v>
      </c>
      <c r="O256" s="8">
        <f t="shared" si="4"/>
        <v>-7.333333333333333</v>
      </c>
    </row>
    <row r="257" spans="2:16" ht="13.5" customHeight="1">
      <c r="B257" s="2" t="s">
        <v>259</v>
      </c>
      <c r="F257" s="2">
        <v>100</v>
      </c>
      <c r="G257" s="48">
        <f>((82*G253)+(26*G254)+(69*G255)+(9*0))/186</f>
        <v>2314.516129032258</v>
      </c>
      <c r="H257" s="2" t="s">
        <v>260</v>
      </c>
      <c r="I257" s="48">
        <f>((82*I253)+(26*I254)+(69*I255)+(9*I256))/186</f>
        <v>16.60967741935484</v>
      </c>
      <c r="J257" s="2" t="s">
        <v>260</v>
      </c>
      <c r="K257" s="48">
        <f>((82*K253)+(26*K254)+(69*K255)+(9*0))/186</f>
        <v>42.053763440860216</v>
      </c>
      <c r="L257" s="2" t="s">
        <v>260</v>
      </c>
      <c r="M257" s="48">
        <f>((82*M253)+(26*M254)+(69*M255)+(9*M256))/186</f>
        <v>40.76021505376344</v>
      </c>
      <c r="N257" s="2" t="s">
        <v>260</v>
      </c>
      <c r="O257" s="8">
        <f t="shared" si="4"/>
        <v>1.0317355633524152</v>
      </c>
      <c r="P257" s="2" t="s">
        <v>260</v>
      </c>
    </row>
    <row r="258" ht="13.5" customHeight="1">
      <c r="K258" s="48"/>
    </row>
    <row r="259" spans="1:15" ht="13.5" customHeight="1">
      <c r="A259" s="2" t="s">
        <v>233</v>
      </c>
      <c r="B259" s="2" t="s">
        <v>267</v>
      </c>
      <c r="C259" s="2" t="s">
        <v>268</v>
      </c>
      <c r="D259" s="7">
        <v>-74</v>
      </c>
      <c r="E259" s="2" t="s">
        <v>248</v>
      </c>
      <c r="F259" s="2">
        <v>100</v>
      </c>
      <c r="G259" s="2">
        <v>1800</v>
      </c>
      <c r="I259" s="2">
        <v>9.1</v>
      </c>
      <c r="K259" s="48">
        <v>16</v>
      </c>
      <c r="M259" s="2">
        <f>+(M237+M244)/2</f>
        <v>26.5</v>
      </c>
      <c r="N259" s="2" t="s">
        <v>269</v>
      </c>
      <c r="O259" s="8">
        <f t="shared" si="4"/>
        <v>0.6037735849056604</v>
      </c>
    </row>
    <row r="260" spans="1:15" ht="13.5" customHeight="1">
      <c r="A260" s="2" t="s">
        <v>233</v>
      </c>
      <c r="B260" s="2" t="s">
        <v>270</v>
      </c>
      <c r="F260" s="2">
        <v>100</v>
      </c>
      <c r="G260" s="2">
        <v>-300</v>
      </c>
      <c r="I260" s="2">
        <v>7.2</v>
      </c>
      <c r="K260" s="48">
        <v>-2.5</v>
      </c>
      <c r="M260" s="2">
        <v>3</v>
      </c>
      <c r="O260" s="8">
        <f t="shared" si="4"/>
        <v>-0.8333333333333334</v>
      </c>
    </row>
    <row r="261" spans="2:16" ht="13.5" customHeight="1">
      <c r="B261" s="2" t="s">
        <v>259</v>
      </c>
      <c r="F261" s="2">
        <v>100</v>
      </c>
      <c r="G261" s="48">
        <f>((79*G259)+(17*0))/96</f>
        <v>1481.25</v>
      </c>
      <c r="H261" s="2" t="s">
        <v>260</v>
      </c>
      <c r="I261" s="48">
        <f>((79*I259)+(17*I260))/96</f>
        <v>8.763541666666667</v>
      </c>
      <c r="J261" s="2" t="s">
        <v>260</v>
      </c>
      <c r="K261" s="48">
        <f>((79*K259)+(17*0))/96</f>
        <v>13.166666666666666</v>
      </c>
      <c r="L261" s="2" t="s">
        <v>260</v>
      </c>
      <c r="M261" s="48">
        <f>((79*M259)+(17*M260))/96</f>
        <v>22.338541666666668</v>
      </c>
      <c r="N261" s="2" t="s">
        <v>260</v>
      </c>
      <c r="O261" s="8">
        <f t="shared" si="4"/>
        <v>0.5894147820004663</v>
      </c>
      <c r="P261" s="2" t="s">
        <v>260</v>
      </c>
    </row>
    <row r="262" ht="13.5" customHeight="1">
      <c r="Q262" s="2" t="s">
        <v>271</v>
      </c>
    </row>
    <row r="263" spans="1:17" ht="13.5" customHeight="1">
      <c r="A263" s="2" t="s">
        <v>233</v>
      </c>
      <c r="B263" s="2" t="s">
        <v>272</v>
      </c>
      <c r="F263" s="2">
        <v>100</v>
      </c>
      <c r="G263" s="48">
        <f>+((G251)+(G257)+(G261*96/186))/3</f>
        <v>1371.4421252371915</v>
      </c>
      <c r="H263" s="2" t="s">
        <v>273</v>
      </c>
      <c r="I263" s="48">
        <f>+((I251)+(I257)+(I261*96/186))/3</f>
        <v>11.632500527092558</v>
      </c>
      <c r="J263" s="2" t="s">
        <v>273</v>
      </c>
      <c r="K263" s="48">
        <f>+((K251)+(K257)+(K261*96/186))/3</f>
        <v>21.21452667088341</v>
      </c>
      <c r="L263" s="2" t="s">
        <v>273</v>
      </c>
      <c r="M263" s="48">
        <f>+((M251)+(M257)+(M261*96/186))/3</f>
        <v>28.00212082878117</v>
      </c>
      <c r="N263" s="2" t="s">
        <v>273</v>
      </c>
      <c r="O263" s="8">
        <f t="shared" si="4"/>
        <v>0.7576042829255515</v>
      </c>
      <c r="P263" s="2" t="s">
        <v>273</v>
      </c>
      <c r="Q263" s="2" t="s">
        <v>274</v>
      </c>
    </row>
    <row r="264" spans="11:17" ht="13.5" customHeight="1">
      <c r="K264" s="7">
        <f>+K263*186/1000</f>
        <v>3.945901960784314</v>
      </c>
      <c r="L264" s="7" t="s">
        <v>275</v>
      </c>
      <c r="M264" s="7">
        <f>+M263*186/1000</f>
        <v>5.208394474153298</v>
      </c>
      <c r="N264" s="7" t="s">
        <v>275</v>
      </c>
      <c r="P264" s="2" t="s">
        <v>276</v>
      </c>
      <c r="Q264" s="2" t="s">
        <v>277</v>
      </c>
    </row>
    <row r="265" spans="11:16" ht="13.5" customHeight="1">
      <c r="K265" s="7"/>
      <c r="M265" s="7">
        <v>10.4</v>
      </c>
      <c r="N265" s="7" t="s">
        <v>275</v>
      </c>
      <c r="O265" s="8">
        <f>+K264/M265</f>
        <v>0.3794136500754148</v>
      </c>
      <c r="P265" s="2" t="s">
        <v>278</v>
      </c>
    </row>
    <row r="266" spans="10:15" s="23" customFormat="1" ht="13.5" customHeight="1">
      <c r="J266" s="19"/>
      <c r="L266" s="24"/>
      <c r="O266" s="25"/>
    </row>
    <row r="267" spans="1:17" ht="25.5">
      <c r="A267" s="6" t="s">
        <v>279</v>
      </c>
      <c r="B267" s="59">
        <v>36251</v>
      </c>
      <c r="C267" s="2" t="s">
        <v>280</v>
      </c>
      <c r="D267" s="7">
        <f>22+(45/60)</f>
        <v>22.75</v>
      </c>
      <c r="E267" s="7" t="s">
        <v>281</v>
      </c>
      <c r="F267" s="2">
        <v>150</v>
      </c>
      <c r="G267" s="54">
        <v>643</v>
      </c>
      <c r="H267" s="2" t="s">
        <v>228</v>
      </c>
      <c r="I267" s="55">
        <v>5.54</v>
      </c>
      <c r="J267" s="26" t="s">
        <v>282</v>
      </c>
      <c r="K267" s="55">
        <f aca="true" t="shared" si="5" ref="K267:K275">G267*I267/1000</f>
        <v>3.56222</v>
      </c>
      <c r="L267" s="54">
        <v>1.3</v>
      </c>
      <c r="M267" s="7">
        <v>52.451919074182</v>
      </c>
      <c r="O267" s="8">
        <f>+K267/M267</f>
        <v>0.06791400701587301</v>
      </c>
      <c r="Q267" s="27" t="s">
        <v>283</v>
      </c>
    </row>
    <row r="268" spans="2:15" ht="13.5" customHeight="1">
      <c r="B268" s="59">
        <v>36281</v>
      </c>
      <c r="F268" s="2">
        <v>150</v>
      </c>
      <c r="G268" s="54">
        <v>806</v>
      </c>
      <c r="I268" s="52">
        <v>4.43</v>
      </c>
      <c r="J268" s="26"/>
      <c r="K268" s="55">
        <f t="shared" si="5"/>
        <v>3.57058</v>
      </c>
      <c r="L268" s="54">
        <v>1.3</v>
      </c>
      <c r="M268" s="7">
        <v>54.117059362251275</v>
      </c>
      <c r="O268" s="8">
        <f aca="true" t="shared" si="6" ref="O268:O276">+K268/M268</f>
        <v>0.0659788252</v>
      </c>
    </row>
    <row r="269" spans="2:15" ht="13.5" customHeight="1">
      <c r="B269" s="59">
        <v>36342</v>
      </c>
      <c r="F269" s="2">
        <v>150</v>
      </c>
      <c r="G269" s="54">
        <v>374</v>
      </c>
      <c r="I269" s="52">
        <v>14.96</v>
      </c>
      <c r="J269" s="26"/>
      <c r="K269" s="55">
        <f t="shared" si="5"/>
        <v>5.59504</v>
      </c>
      <c r="L269" s="54">
        <v>2.04</v>
      </c>
      <c r="M269" s="7">
        <v>43.29364748980102</v>
      </c>
      <c r="O269" s="8">
        <f t="shared" si="6"/>
        <v>0.12923466430769232</v>
      </c>
    </row>
    <row r="270" spans="2:15" ht="13.5" customHeight="1">
      <c r="B270" s="59">
        <v>36373</v>
      </c>
      <c r="F270" s="2">
        <v>150</v>
      </c>
      <c r="G270" s="54">
        <v>621</v>
      </c>
      <c r="I270" s="52">
        <v>3.44</v>
      </c>
      <c r="J270" s="26"/>
      <c r="K270" s="55">
        <f t="shared" si="5"/>
        <v>2.13624</v>
      </c>
      <c r="L270" s="54">
        <v>0.78</v>
      </c>
      <c r="M270" s="7">
        <v>59.94505037049372</v>
      </c>
      <c r="O270" s="8">
        <f t="shared" si="6"/>
        <v>0.035636637</v>
      </c>
    </row>
    <row r="271" spans="2:15" ht="13.5" customHeight="1">
      <c r="B271" s="60">
        <v>36434</v>
      </c>
      <c r="F271" s="2">
        <v>150</v>
      </c>
      <c r="G271" s="2">
        <v>2311</v>
      </c>
      <c r="I271" s="61">
        <v>4.85</v>
      </c>
      <c r="K271" s="55">
        <f t="shared" si="5"/>
        <v>11.20835</v>
      </c>
      <c r="L271" s="7">
        <v>4.09</v>
      </c>
      <c r="M271" s="7">
        <v>47.45649820997419</v>
      </c>
      <c r="O271" s="8">
        <f t="shared" si="6"/>
        <v>0.2361815646491228</v>
      </c>
    </row>
    <row r="272" spans="2:15" ht="13.5" customHeight="1">
      <c r="B272" s="60">
        <v>36465</v>
      </c>
      <c r="F272" s="2">
        <v>150</v>
      </c>
      <c r="G272" s="2">
        <v>374</v>
      </c>
      <c r="I272" s="61">
        <v>5.64</v>
      </c>
      <c r="K272" s="55">
        <f t="shared" si="5"/>
        <v>2.1093599999999997</v>
      </c>
      <c r="L272" s="2">
        <v>0.77</v>
      </c>
      <c r="M272" s="7">
        <v>35.8005161934893</v>
      </c>
      <c r="O272" s="8">
        <f t="shared" si="6"/>
        <v>0.05891982083720929</v>
      </c>
    </row>
    <row r="273" spans="2:15" ht="13.5" customHeight="1">
      <c r="B273" s="60">
        <v>36495</v>
      </c>
      <c r="F273" s="2">
        <v>150</v>
      </c>
      <c r="G273" s="2">
        <v>1066</v>
      </c>
      <c r="I273" s="52">
        <v>4.67</v>
      </c>
      <c r="K273" s="55">
        <f t="shared" si="5"/>
        <v>4.97822</v>
      </c>
      <c r="L273" s="2">
        <v>1.82</v>
      </c>
      <c r="M273" s="7">
        <v>35.384231121471984</v>
      </c>
      <c r="O273" s="8">
        <f t="shared" si="6"/>
        <v>0.14069035392941176</v>
      </c>
    </row>
    <row r="274" spans="2:15" ht="13.5" customHeight="1">
      <c r="B274" s="60">
        <v>36557</v>
      </c>
      <c r="F274" s="2">
        <v>150</v>
      </c>
      <c r="G274" s="2">
        <v>313</v>
      </c>
      <c r="I274" s="52">
        <v>3.87</v>
      </c>
      <c r="K274" s="55">
        <f t="shared" si="5"/>
        <v>1.2113099999999999</v>
      </c>
      <c r="L274" s="2">
        <v>0.44</v>
      </c>
      <c r="M274" s="7">
        <v>29.139955041212225</v>
      </c>
      <c r="O274" s="8">
        <f t="shared" si="6"/>
        <v>0.0415686983142857</v>
      </c>
    </row>
    <row r="275" spans="2:15" ht="13.5" customHeight="1">
      <c r="B275" s="60">
        <v>36586</v>
      </c>
      <c r="F275" s="2">
        <v>150</v>
      </c>
      <c r="G275" s="2">
        <v>411</v>
      </c>
      <c r="I275" s="52">
        <v>4.74</v>
      </c>
      <c r="K275" s="55">
        <f t="shared" si="5"/>
        <v>1.9481400000000002</v>
      </c>
      <c r="L275" s="2">
        <v>0.71</v>
      </c>
      <c r="M275" s="7">
        <v>49.9542086420781</v>
      </c>
      <c r="O275" s="8">
        <f t="shared" si="6"/>
        <v>0.0389985159</v>
      </c>
    </row>
    <row r="276" spans="2:15" ht="13.5" customHeight="1">
      <c r="B276" s="2" t="s">
        <v>284</v>
      </c>
      <c r="G276" s="2">
        <v>765</v>
      </c>
      <c r="I276" s="52">
        <v>4.8</v>
      </c>
      <c r="K276" s="61">
        <f>AVERAGE(K267:K275)</f>
        <v>4.035495555555555</v>
      </c>
      <c r="L276" s="7">
        <v>4</v>
      </c>
      <c r="M276" s="61">
        <f>AVERAGE(M267:M275)</f>
        <v>45.28256505610597</v>
      </c>
      <c r="O276" s="8">
        <f t="shared" si="6"/>
        <v>0.0891180866312564</v>
      </c>
    </row>
    <row r="277" spans="7:13" ht="13.5" customHeight="1">
      <c r="G277" s="48">
        <f>AVERAGE(G267:G275)</f>
        <v>768.7777777777778</v>
      </c>
      <c r="I277" s="61">
        <f>AVERAGE(I271:I275)</f>
        <v>4.754</v>
      </c>
      <c r="K277" s="7"/>
      <c r="L277" s="61"/>
      <c r="M277" s="61"/>
    </row>
    <row r="278" spans="11:12" ht="13.5" customHeight="1">
      <c r="K278" s="7"/>
      <c r="L278" s="2"/>
    </row>
    <row r="279" spans="2:15" ht="13.5" customHeight="1">
      <c r="B279" s="59">
        <v>36281</v>
      </c>
      <c r="C279" s="2" t="s">
        <v>280</v>
      </c>
      <c r="D279" s="7">
        <f>22+(45/60)</f>
        <v>22.75</v>
      </c>
      <c r="E279" s="7" t="s">
        <v>281</v>
      </c>
      <c r="F279" s="2">
        <v>150</v>
      </c>
      <c r="G279" s="2">
        <v>921</v>
      </c>
      <c r="H279" s="2" t="s">
        <v>232</v>
      </c>
      <c r="I279" s="7">
        <f>AVERAGE(I267:I268)</f>
        <v>4.984999999999999</v>
      </c>
      <c r="J279" s="55" t="s">
        <v>285</v>
      </c>
      <c r="K279" s="7">
        <f aca="true" t="shared" si="7" ref="K279:K286">I279*G279/1000</f>
        <v>4.591184999999999</v>
      </c>
      <c r="L279" s="2">
        <v>1.68</v>
      </c>
      <c r="M279" s="7">
        <v>54.117059362251275</v>
      </c>
      <c r="O279" s="8">
        <f aca="true" t="shared" si="8" ref="O279:O287">+K279/M279</f>
        <v>0.08483803543846152</v>
      </c>
    </row>
    <row r="280" spans="2:15" ht="13.5" customHeight="1">
      <c r="B280" s="59">
        <v>36342</v>
      </c>
      <c r="F280" s="2">
        <v>150</v>
      </c>
      <c r="G280" s="2">
        <v>397</v>
      </c>
      <c r="I280" s="7">
        <f aca="true" t="shared" si="9" ref="I280:I286">AVERAGE(I268:I269)</f>
        <v>9.695</v>
      </c>
      <c r="J280" s="55"/>
      <c r="K280" s="7">
        <f t="shared" si="7"/>
        <v>3.848915</v>
      </c>
      <c r="L280" s="2">
        <v>1.41</v>
      </c>
      <c r="M280" s="7">
        <v>43.29364748980102</v>
      </c>
      <c r="O280" s="8">
        <f t="shared" si="8"/>
        <v>0.0889025347403846</v>
      </c>
    </row>
    <row r="281" spans="2:15" ht="13.5" customHeight="1">
      <c r="B281" s="59">
        <v>36373</v>
      </c>
      <c r="F281" s="2">
        <v>150</v>
      </c>
      <c r="G281" s="2">
        <v>1016</v>
      </c>
      <c r="I281" s="7">
        <f t="shared" si="9"/>
        <v>9.200000000000001</v>
      </c>
      <c r="J281" s="55"/>
      <c r="K281" s="7">
        <f t="shared" si="7"/>
        <v>9.3472</v>
      </c>
      <c r="L281" s="2">
        <v>3.41</v>
      </c>
      <c r="M281" s="7">
        <v>59.94505037049372</v>
      </c>
      <c r="O281" s="8">
        <f t="shared" si="8"/>
        <v>0.1559294711111111</v>
      </c>
    </row>
    <row r="282" spans="2:15" ht="13.5" customHeight="1">
      <c r="B282" s="60">
        <v>36434</v>
      </c>
      <c r="F282" s="2">
        <v>150</v>
      </c>
      <c r="G282" s="2">
        <v>1724</v>
      </c>
      <c r="I282" s="7">
        <f t="shared" si="9"/>
        <v>4.145</v>
      </c>
      <c r="J282" s="55"/>
      <c r="K282" s="7">
        <f t="shared" si="7"/>
        <v>7.14598</v>
      </c>
      <c r="L282" s="2">
        <v>2.61</v>
      </c>
      <c r="M282" s="7">
        <v>47.45649820997419</v>
      </c>
      <c r="O282" s="8">
        <f t="shared" si="8"/>
        <v>0.1505795890877193</v>
      </c>
    </row>
    <row r="283" spans="2:15" ht="13.5" customHeight="1">
      <c r="B283" s="60">
        <v>36465</v>
      </c>
      <c r="F283" s="2">
        <v>150</v>
      </c>
      <c r="G283" s="2">
        <v>268</v>
      </c>
      <c r="I283" s="7">
        <f t="shared" si="9"/>
        <v>5.244999999999999</v>
      </c>
      <c r="J283" s="55"/>
      <c r="K283" s="7">
        <f t="shared" si="7"/>
        <v>1.40566</v>
      </c>
      <c r="L283" s="2">
        <v>0.51</v>
      </c>
      <c r="M283" s="7">
        <v>35.8005161934893</v>
      </c>
      <c r="O283" s="8">
        <f t="shared" si="8"/>
        <v>0.0392636796744186</v>
      </c>
    </row>
    <row r="284" spans="2:15" ht="13.5" customHeight="1">
      <c r="B284" s="60">
        <v>36495</v>
      </c>
      <c r="F284" s="2">
        <v>150</v>
      </c>
      <c r="G284" s="2">
        <v>1434</v>
      </c>
      <c r="I284" s="7">
        <f t="shared" si="9"/>
        <v>5.154999999999999</v>
      </c>
      <c r="J284" s="55"/>
      <c r="K284" s="7">
        <f t="shared" si="7"/>
        <v>7.39227</v>
      </c>
      <c r="L284" s="2">
        <v>2.7</v>
      </c>
      <c r="M284" s="7">
        <v>35.384231121471984</v>
      </c>
      <c r="O284" s="8">
        <f t="shared" si="8"/>
        <v>0.2089142469882353</v>
      </c>
    </row>
    <row r="285" spans="2:15" ht="13.5" customHeight="1">
      <c r="B285" s="60">
        <v>36557</v>
      </c>
      <c r="F285" s="2">
        <v>150</v>
      </c>
      <c r="G285" s="2">
        <v>111</v>
      </c>
      <c r="I285" s="7">
        <f t="shared" si="9"/>
        <v>4.27</v>
      </c>
      <c r="J285" s="55"/>
      <c r="K285" s="7">
        <f t="shared" si="7"/>
        <v>0.47396999999999995</v>
      </c>
      <c r="L285" s="2">
        <v>0.17</v>
      </c>
      <c r="M285" s="7">
        <v>29.139955041212225</v>
      </c>
      <c r="O285" s="8">
        <f t="shared" si="8"/>
        <v>0.016265296199999998</v>
      </c>
    </row>
    <row r="286" spans="2:15" ht="13.5" customHeight="1">
      <c r="B286" s="60">
        <v>36586</v>
      </c>
      <c r="F286" s="2">
        <v>150</v>
      </c>
      <c r="G286" s="2">
        <v>252</v>
      </c>
      <c r="I286" s="7">
        <f t="shared" si="9"/>
        <v>4.305</v>
      </c>
      <c r="J286" s="55"/>
      <c r="K286" s="7">
        <f t="shared" si="7"/>
        <v>1.08486</v>
      </c>
      <c r="L286" s="2">
        <v>0.4</v>
      </c>
      <c r="M286" s="7">
        <v>49.9542086420781</v>
      </c>
      <c r="O286" s="8">
        <f t="shared" si="8"/>
        <v>0.021717089099999996</v>
      </c>
    </row>
    <row r="287" spans="2:15" ht="13.5" customHeight="1">
      <c r="B287" s="2" t="s">
        <v>284</v>
      </c>
      <c r="G287" s="2">
        <v>769</v>
      </c>
      <c r="K287" s="61">
        <f>AVERAGE(K279:K286)</f>
        <v>4.411255000000001</v>
      </c>
      <c r="L287" s="61">
        <f>AVERAGE(L279:L286)</f>
        <v>1.61125</v>
      </c>
      <c r="M287" s="61">
        <f>AVERAGE(M279:M286)</f>
        <v>44.38639580384647</v>
      </c>
      <c r="O287" s="8">
        <f t="shared" si="8"/>
        <v>0.09938304113481831</v>
      </c>
    </row>
    <row r="288" ht="13.5" customHeight="1">
      <c r="G288" s="48">
        <f>AVERAGE(G279:G286)</f>
        <v>765.375</v>
      </c>
    </row>
    <row r="289" spans="10:15" s="23" customFormat="1" ht="13.5" customHeight="1">
      <c r="J289" s="19"/>
      <c r="L289" s="24"/>
      <c r="O289" s="25"/>
    </row>
    <row r="290" spans="1:17" s="27" customFormat="1" ht="37.5" customHeight="1">
      <c r="A290" s="6" t="s">
        <v>286</v>
      </c>
      <c r="B290" s="6" t="s">
        <v>287</v>
      </c>
      <c r="C290" s="27" t="s">
        <v>288</v>
      </c>
      <c r="D290" s="27" t="s">
        <v>289</v>
      </c>
      <c r="E290" s="27" t="s">
        <v>290</v>
      </c>
      <c r="F290" s="27">
        <v>50</v>
      </c>
      <c r="G290" s="27" t="s">
        <v>291</v>
      </c>
      <c r="H290" s="2" t="s">
        <v>228</v>
      </c>
      <c r="I290" s="62" t="s">
        <v>292</v>
      </c>
      <c r="J290" s="6" t="s">
        <v>293</v>
      </c>
      <c r="K290" s="62" t="s">
        <v>294</v>
      </c>
      <c r="L290" s="34"/>
      <c r="M290" s="27" t="s">
        <v>295</v>
      </c>
      <c r="O290" s="36"/>
      <c r="Q290" s="27" t="s">
        <v>296</v>
      </c>
    </row>
    <row r="291" spans="2:17" ht="37.5" customHeight="1">
      <c r="B291" s="6" t="s">
        <v>297</v>
      </c>
      <c r="C291" s="2" t="s">
        <v>298</v>
      </c>
      <c r="F291" s="2">
        <v>50</v>
      </c>
      <c r="G291" s="2" t="s">
        <v>299</v>
      </c>
      <c r="Q291" s="6" t="s">
        <v>300</v>
      </c>
    </row>
    <row r="292" spans="10:15" s="23" customFormat="1" ht="13.5" customHeight="1">
      <c r="J292" s="19"/>
      <c r="L292" s="24"/>
      <c r="O292" s="25"/>
    </row>
    <row r="293" spans="1:17" ht="25.5" customHeight="1">
      <c r="A293" s="6" t="s">
        <v>301</v>
      </c>
      <c r="B293" s="63" t="s">
        <v>433</v>
      </c>
      <c r="C293" s="2">
        <v>1</v>
      </c>
      <c r="D293" s="2">
        <v>11.98</v>
      </c>
      <c r="E293" s="2" t="s">
        <v>302</v>
      </c>
      <c r="F293" s="2">
        <v>100</v>
      </c>
      <c r="G293" s="2">
        <v>627</v>
      </c>
      <c r="H293" s="2" t="s">
        <v>303</v>
      </c>
      <c r="I293" s="7">
        <f>K293/G293*1000</f>
        <v>2.9346092503987244</v>
      </c>
      <c r="J293" s="6" t="s">
        <v>304</v>
      </c>
      <c r="K293" s="2">
        <v>1.84</v>
      </c>
      <c r="M293" s="2">
        <v>24.7</v>
      </c>
      <c r="O293" s="8">
        <f aca="true" t="shared" si="10" ref="O293:O320">+K293/M293</f>
        <v>0.07449392712550608</v>
      </c>
      <c r="Q293" s="2" t="s">
        <v>305</v>
      </c>
    </row>
    <row r="294" spans="2:15" ht="13.5" customHeight="1">
      <c r="B294" s="47">
        <v>33641</v>
      </c>
      <c r="C294" s="2">
        <v>2</v>
      </c>
      <c r="D294" s="2">
        <v>9.01</v>
      </c>
      <c r="E294" s="2">
        <v>140.09</v>
      </c>
      <c r="F294" s="2">
        <v>100</v>
      </c>
      <c r="G294" s="2">
        <v>1191</v>
      </c>
      <c r="I294" s="7">
        <f>K294/G294*1000</f>
        <v>2.7120067170445004</v>
      </c>
      <c r="K294" s="2">
        <v>3.23</v>
      </c>
      <c r="M294" s="2">
        <v>23.3</v>
      </c>
      <c r="O294" s="8">
        <f t="shared" si="10"/>
        <v>0.13862660944206007</v>
      </c>
    </row>
    <row r="295" spans="2:15" ht="13.5" customHeight="1">
      <c r="B295" s="47">
        <v>33644</v>
      </c>
      <c r="C295" s="2">
        <v>3</v>
      </c>
      <c r="D295" s="2">
        <v>7.06</v>
      </c>
      <c r="E295" s="2">
        <v>140.02</v>
      </c>
      <c r="F295" s="2">
        <v>100</v>
      </c>
      <c r="G295" s="2">
        <v>903</v>
      </c>
      <c r="I295" s="7">
        <f aca="true" t="shared" si="11" ref="I295:I317">K295/G295*1000</f>
        <v>2.7242524916943522</v>
      </c>
      <c r="K295" s="2">
        <v>2.46</v>
      </c>
      <c r="M295" s="2">
        <v>30.2</v>
      </c>
      <c r="O295" s="8">
        <f t="shared" si="10"/>
        <v>0.0814569536423841</v>
      </c>
    </row>
    <row r="296" spans="2:15" ht="13.5" customHeight="1">
      <c r="B296" s="47">
        <v>33646</v>
      </c>
      <c r="C296" s="2">
        <v>4</v>
      </c>
      <c r="D296" s="2">
        <v>5.05</v>
      </c>
      <c r="E296" s="2">
        <v>140.02</v>
      </c>
      <c r="F296" s="2">
        <v>100</v>
      </c>
      <c r="G296" s="2">
        <v>1747</v>
      </c>
      <c r="I296" s="7">
        <f t="shared" si="11"/>
        <v>1.6141957641671436</v>
      </c>
      <c r="K296" s="2">
        <v>2.82</v>
      </c>
      <c r="M296" s="2">
        <v>41.4</v>
      </c>
      <c r="O296" s="8">
        <f t="shared" si="10"/>
        <v>0.06811594202898551</v>
      </c>
    </row>
    <row r="297" spans="2:15" ht="13.5" customHeight="1">
      <c r="B297" s="47">
        <v>33649</v>
      </c>
      <c r="C297" s="2">
        <v>5</v>
      </c>
      <c r="D297" s="2">
        <v>3.01</v>
      </c>
      <c r="E297" s="2">
        <v>139.99</v>
      </c>
      <c r="F297" s="2">
        <v>100</v>
      </c>
      <c r="G297" s="2">
        <v>1216</v>
      </c>
      <c r="I297" s="7">
        <f t="shared" si="11"/>
        <v>1.7023026315789473</v>
      </c>
      <c r="K297" s="2">
        <v>2.07</v>
      </c>
      <c r="M297" s="2">
        <v>46.2</v>
      </c>
      <c r="O297" s="8">
        <f t="shared" si="10"/>
        <v>0.0448051948051948</v>
      </c>
    </row>
    <row r="298" spans="2:15" ht="13.5" customHeight="1">
      <c r="B298" s="47">
        <v>33651</v>
      </c>
      <c r="C298" s="2">
        <v>6</v>
      </c>
      <c r="D298" s="2">
        <v>2.08</v>
      </c>
      <c r="E298" s="2">
        <v>139.92</v>
      </c>
      <c r="F298" s="2">
        <v>100</v>
      </c>
      <c r="G298" s="2">
        <v>1112</v>
      </c>
      <c r="I298" s="7">
        <f t="shared" si="11"/>
        <v>1.7805755395683454</v>
      </c>
      <c r="K298" s="2">
        <v>1.98</v>
      </c>
      <c r="M298" s="2">
        <v>61.3</v>
      </c>
      <c r="O298" s="8">
        <f t="shared" si="10"/>
        <v>0.03230016313213703</v>
      </c>
    </row>
    <row r="299" spans="2:15" ht="13.5" customHeight="1">
      <c r="B299" s="47">
        <v>33654</v>
      </c>
      <c r="C299" s="2">
        <v>7</v>
      </c>
      <c r="D299" s="2">
        <v>1.13</v>
      </c>
      <c r="E299" s="2">
        <v>140.05</v>
      </c>
      <c r="F299" s="2">
        <v>100</v>
      </c>
      <c r="G299" s="2">
        <v>1431</v>
      </c>
      <c r="I299" s="7">
        <f t="shared" si="11"/>
        <v>2.124388539482879</v>
      </c>
      <c r="K299" s="2">
        <v>3.04</v>
      </c>
      <c r="M299" s="2">
        <v>46.6</v>
      </c>
      <c r="O299" s="8">
        <f t="shared" si="10"/>
        <v>0.06523605150214593</v>
      </c>
    </row>
    <row r="300" spans="2:15" ht="13.5" customHeight="1">
      <c r="B300" s="47">
        <v>33657</v>
      </c>
      <c r="C300" s="2">
        <v>8</v>
      </c>
      <c r="D300" s="2">
        <v>0</v>
      </c>
      <c r="E300" s="2">
        <v>140.06</v>
      </c>
      <c r="F300" s="2">
        <v>100</v>
      </c>
      <c r="G300" s="2">
        <v>2339</v>
      </c>
      <c r="I300" s="7">
        <f t="shared" si="11"/>
        <v>2.5780247969217616</v>
      </c>
      <c r="K300" s="2">
        <v>6.03</v>
      </c>
      <c r="M300" s="2">
        <v>60.1</v>
      </c>
      <c r="O300" s="8">
        <f t="shared" si="10"/>
        <v>0.10033277870216306</v>
      </c>
    </row>
    <row r="301" spans="2:15" ht="13.5" customHeight="1">
      <c r="B301" s="47">
        <v>33661</v>
      </c>
      <c r="C301" s="2">
        <v>9</v>
      </c>
      <c r="D301" s="2">
        <v>-1.02</v>
      </c>
      <c r="E301" s="2">
        <v>140.16</v>
      </c>
      <c r="F301" s="2">
        <v>100</v>
      </c>
      <c r="G301" s="2">
        <v>1903</v>
      </c>
      <c r="I301" s="7">
        <f t="shared" si="11"/>
        <v>3.03205465055176</v>
      </c>
      <c r="K301" s="2">
        <v>5.77</v>
      </c>
      <c r="M301" s="2">
        <v>84.5</v>
      </c>
      <c r="O301" s="8">
        <f t="shared" si="10"/>
        <v>0.06828402366863905</v>
      </c>
    </row>
    <row r="302" spans="2:15" ht="13.5" customHeight="1">
      <c r="B302" s="47">
        <v>33664</v>
      </c>
      <c r="C302" s="2">
        <v>10</v>
      </c>
      <c r="D302" s="2">
        <v>-2.02</v>
      </c>
      <c r="E302" s="2">
        <v>140.13</v>
      </c>
      <c r="F302" s="2">
        <v>100</v>
      </c>
      <c r="G302" s="2">
        <v>848</v>
      </c>
      <c r="I302" s="7">
        <f t="shared" si="11"/>
        <v>2.535377358490566</v>
      </c>
      <c r="K302" s="2">
        <v>2.15</v>
      </c>
      <c r="M302" s="2">
        <v>64.5</v>
      </c>
      <c r="O302" s="8">
        <f t="shared" si="10"/>
        <v>0.03333333333333333</v>
      </c>
    </row>
    <row r="303" spans="2:15" ht="13.5" customHeight="1">
      <c r="B303" s="47">
        <v>33667</v>
      </c>
      <c r="C303" s="2">
        <v>12</v>
      </c>
      <c r="D303" s="61">
        <v>-5.05</v>
      </c>
      <c r="E303" s="2">
        <v>140</v>
      </c>
      <c r="F303" s="2">
        <v>100</v>
      </c>
      <c r="G303" s="2">
        <v>841</v>
      </c>
      <c r="I303" s="7">
        <f t="shared" si="11"/>
        <v>2.972651605231867</v>
      </c>
      <c r="K303" s="2">
        <v>2.5</v>
      </c>
      <c r="M303" s="2">
        <v>67.9</v>
      </c>
      <c r="O303" s="8">
        <f t="shared" si="10"/>
        <v>0.03681885125184094</v>
      </c>
    </row>
    <row r="304" spans="2:15" ht="13.5" customHeight="1">
      <c r="B304" s="47">
        <v>33671</v>
      </c>
      <c r="C304" s="2">
        <v>15</v>
      </c>
      <c r="D304" s="2">
        <v>-12.03</v>
      </c>
      <c r="E304" s="2">
        <v>135</v>
      </c>
      <c r="F304" s="2">
        <v>100</v>
      </c>
      <c r="G304" s="2">
        <v>926</v>
      </c>
      <c r="I304" s="7">
        <f t="shared" si="11"/>
        <v>4.730021598272138</v>
      </c>
      <c r="K304" s="2">
        <v>4.38</v>
      </c>
      <c r="M304" s="2">
        <v>34.8</v>
      </c>
      <c r="O304" s="8">
        <f t="shared" si="10"/>
        <v>0.12586206896551724</v>
      </c>
    </row>
    <row r="305" ht="13.5" customHeight="1"/>
    <row r="306" spans="2:15" ht="25.5" customHeight="1">
      <c r="B306" s="63" t="s">
        <v>434</v>
      </c>
      <c r="C306" s="2">
        <v>1</v>
      </c>
      <c r="D306" s="2">
        <v>12.01</v>
      </c>
      <c r="E306" s="2">
        <v>140.03</v>
      </c>
      <c r="F306" s="2">
        <v>100</v>
      </c>
      <c r="G306" s="2">
        <v>1068</v>
      </c>
      <c r="I306" s="7">
        <f t="shared" si="11"/>
        <v>3.745318352059925</v>
      </c>
      <c r="K306" s="61">
        <v>4</v>
      </c>
      <c r="M306" s="2">
        <v>29.8</v>
      </c>
      <c r="O306" s="8">
        <f t="shared" si="10"/>
        <v>0.1342281879194631</v>
      </c>
    </row>
    <row r="307" spans="2:15" ht="13.5" customHeight="1">
      <c r="B307" s="47">
        <v>33830</v>
      </c>
      <c r="C307" s="2">
        <v>2</v>
      </c>
      <c r="D307" s="2">
        <v>8.97</v>
      </c>
      <c r="E307" s="2">
        <v>139.97</v>
      </c>
      <c r="F307" s="2">
        <v>100</v>
      </c>
      <c r="G307" s="2">
        <v>1469</v>
      </c>
      <c r="I307" s="7">
        <f t="shared" si="11"/>
        <v>2.627637848876787</v>
      </c>
      <c r="K307" s="2">
        <v>3.86</v>
      </c>
      <c r="M307" s="2">
        <v>25.4</v>
      </c>
      <c r="O307" s="8">
        <f t="shared" si="10"/>
        <v>0.15196850393700786</v>
      </c>
    </row>
    <row r="308" spans="2:15" ht="13.5" customHeight="1">
      <c r="B308" s="47">
        <v>33833</v>
      </c>
      <c r="C308" s="2">
        <v>3</v>
      </c>
      <c r="D308" s="2">
        <v>7.01</v>
      </c>
      <c r="E308" s="2">
        <v>139.91</v>
      </c>
      <c r="F308" s="2">
        <v>100</v>
      </c>
      <c r="G308" s="2">
        <v>1646</v>
      </c>
      <c r="I308" s="7">
        <f t="shared" si="11"/>
        <v>3.0072904009720536</v>
      </c>
      <c r="K308" s="2">
        <v>4.95</v>
      </c>
      <c r="M308" s="2">
        <v>19.2</v>
      </c>
      <c r="O308" s="8">
        <f t="shared" si="10"/>
        <v>0.2578125</v>
      </c>
    </row>
    <row r="309" spans="2:15" ht="13.5" customHeight="1">
      <c r="B309" s="47">
        <v>33835</v>
      </c>
      <c r="C309" s="2">
        <v>4</v>
      </c>
      <c r="D309" s="2">
        <v>5.01</v>
      </c>
      <c r="E309" s="2">
        <v>139.83</v>
      </c>
      <c r="F309" s="2">
        <v>100</v>
      </c>
      <c r="G309" s="2">
        <v>2304</v>
      </c>
      <c r="I309" s="7">
        <f t="shared" si="11"/>
        <v>3.6718750000000004</v>
      </c>
      <c r="K309" s="2">
        <v>8.46</v>
      </c>
      <c r="M309" s="2">
        <v>48.1</v>
      </c>
      <c r="O309" s="8">
        <f t="shared" si="10"/>
        <v>0.1758835758835759</v>
      </c>
    </row>
    <row r="310" spans="2:15" ht="13.5" customHeight="1">
      <c r="B310" s="47">
        <v>33838</v>
      </c>
      <c r="C310" s="2">
        <v>5</v>
      </c>
      <c r="D310" s="2">
        <v>2.9</v>
      </c>
      <c r="E310" s="2">
        <v>140.21</v>
      </c>
      <c r="F310" s="2">
        <v>100</v>
      </c>
      <c r="G310" s="2">
        <v>1933</v>
      </c>
      <c r="I310" s="7">
        <f t="shared" si="11"/>
        <v>3.828246249353337</v>
      </c>
      <c r="K310" s="2">
        <v>7.4</v>
      </c>
      <c r="M310" s="2">
        <v>64.8</v>
      </c>
      <c r="O310" s="8">
        <f t="shared" si="10"/>
        <v>0.11419753086419754</v>
      </c>
    </row>
    <row r="311" spans="2:15" ht="13.5" customHeight="1">
      <c r="B311" s="47">
        <v>33841</v>
      </c>
      <c r="C311" s="2">
        <v>6</v>
      </c>
      <c r="D311" s="2">
        <v>2.12</v>
      </c>
      <c r="E311" s="2">
        <v>140.24</v>
      </c>
      <c r="F311" s="2">
        <v>100</v>
      </c>
      <c r="G311" s="2">
        <v>2665</v>
      </c>
      <c r="I311" s="7">
        <f t="shared" si="11"/>
        <v>6.885553470919326</v>
      </c>
      <c r="K311" s="2">
        <v>18.35</v>
      </c>
      <c r="M311" s="2">
        <v>154.5</v>
      </c>
      <c r="O311" s="8">
        <f t="shared" si="10"/>
        <v>0.11877022653721683</v>
      </c>
    </row>
    <row r="312" spans="2:13" ht="13.5" customHeight="1">
      <c r="B312" s="47">
        <v>33843</v>
      </c>
      <c r="C312" s="2">
        <v>7</v>
      </c>
      <c r="D312" s="2">
        <v>1.14</v>
      </c>
      <c r="E312" s="2">
        <v>140.01</v>
      </c>
      <c r="F312" s="2">
        <v>100</v>
      </c>
      <c r="G312" s="2">
        <v>2709</v>
      </c>
      <c r="I312" s="7">
        <f t="shared" si="11"/>
        <v>5.042451088962717</v>
      </c>
      <c r="K312" s="2">
        <v>13.66</v>
      </c>
      <c r="M312" s="2" t="s">
        <v>306</v>
      </c>
    </row>
    <row r="313" spans="2:15" ht="13.5" customHeight="1">
      <c r="B313" s="47">
        <v>33845</v>
      </c>
      <c r="C313" s="2">
        <v>8</v>
      </c>
      <c r="D313" s="2">
        <v>0.21</v>
      </c>
      <c r="E313" s="2">
        <v>139.9</v>
      </c>
      <c r="F313" s="2">
        <v>100</v>
      </c>
      <c r="G313" s="2">
        <v>3149</v>
      </c>
      <c r="I313" s="7">
        <f t="shared" si="11"/>
        <v>3.0104795173070817</v>
      </c>
      <c r="K313" s="2">
        <v>9.48</v>
      </c>
      <c r="M313" s="2">
        <v>102.6</v>
      </c>
      <c r="O313" s="8">
        <f t="shared" si="10"/>
        <v>0.09239766081871346</v>
      </c>
    </row>
    <row r="314" spans="2:15" ht="13.5" customHeight="1">
      <c r="B314" s="47">
        <v>33850</v>
      </c>
      <c r="C314" s="2">
        <v>10</v>
      </c>
      <c r="D314" s="2">
        <v>-2.19</v>
      </c>
      <c r="E314" s="2">
        <v>140.16</v>
      </c>
      <c r="F314" s="2">
        <v>100</v>
      </c>
      <c r="G314" s="2">
        <v>1767</v>
      </c>
      <c r="I314" s="7">
        <f t="shared" si="11"/>
        <v>2.2920203735144313</v>
      </c>
      <c r="K314" s="2">
        <v>4.05</v>
      </c>
      <c r="M314" s="2">
        <v>117.8</v>
      </c>
      <c r="O314" s="8">
        <f t="shared" si="10"/>
        <v>0.03438030560271647</v>
      </c>
    </row>
    <row r="315" spans="2:15" ht="13.5" customHeight="1">
      <c r="B315" s="47">
        <v>33853</v>
      </c>
      <c r="C315" s="2">
        <v>11</v>
      </c>
      <c r="D315" s="2">
        <v>-3.22</v>
      </c>
      <c r="E315" s="2">
        <v>140.26</v>
      </c>
      <c r="F315" s="2">
        <v>100</v>
      </c>
      <c r="G315" s="2">
        <v>1930</v>
      </c>
      <c r="I315" s="7">
        <f t="shared" si="11"/>
        <v>3.326424870466321</v>
      </c>
      <c r="K315" s="2">
        <v>6.42</v>
      </c>
      <c r="M315" s="2">
        <v>99.9</v>
      </c>
      <c r="O315" s="8">
        <f t="shared" si="10"/>
        <v>0.06426426426426426</v>
      </c>
    </row>
    <row r="316" spans="2:15" ht="13.5" customHeight="1">
      <c r="B316" s="47">
        <v>33855</v>
      </c>
      <c r="C316" s="2">
        <v>12</v>
      </c>
      <c r="D316" s="2">
        <v>-5.11</v>
      </c>
      <c r="E316" s="2">
        <v>140</v>
      </c>
      <c r="F316" s="2">
        <v>100</v>
      </c>
      <c r="G316" s="2">
        <v>2531</v>
      </c>
      <c r="I316" s="7">
        <f t="shared" si="11"/>
        <v>3.7969182141446067</v>
      </c>
      <c r="K316" s="2">
        <v>9.61</v>
      </c>
      <c r="M316" s="2">
        <v>102.3</v>
      </c>
      <c r="O316" s="8">
        <f t="shared" si="10"/>
        <v>0.09393939393939393</v>
      </c>
    </row>
    <row r="317" spans="2:15" ht="13.5" customHeight="1">
      <c r="B317" s="47">
        <v>33860</v>
      </c>
      <c r="C317" s="2">
        <v>15</v>
      </c>
      <c r="D317" s="2">
        <v>-11.93</v>
      </c>
      <c r="E317" s="2">
        <v>134.95</v>
      </c>
      <c r="F317" s="2">
        <v>100</v>
      </c>
      <c r="G317" s="2">
        <v>1391</v>
      </c>
      <c r="I317" s="7">
        <f t="shared" si="11"/>
        <v>2.3723939611790077</v>
      </c>
      <c r="K317" s="2">
        <v>3.3</v>
      </c>
      <c r="M317" s="2">
        <v>33.9</v>
      </c>
      <c r="O317" s="8">
        <f t="shared" si="10"/>
        <v>0.09734513274336283</v>
      </c>
    </row>
    <row r="318" spans="10:15" s="23" customFormat="1" ht="13.5" customHeight="1">
      <c r="J318" s="19"/>
      <c r="L318" s="24"/>
      <c r="O318" s="25"/>
    </row>
    <row r="319" spans="1:17" ht="65.25" customHeight="1">
      <c r="A319" s="2" t="s">
        <v>307</v>
      </c>
      <c r="B319" s="2" t="s">
        <v>308</v>
      </c>
      <c r="D319" s="2">
        <v>15</v>
      </c>
      <c r="E319" s="2">
        <v>64</v>
      </c>
      <c r="F319" s="2">
        <v>100</v>
      </c>
      <c r="G319" s="2">
        <v>1545</v>
      </c>
      <c r="H319" s="2" t="s">
        <v>228</v>
      </c>
      <c r="I319" s="7">
        <f>0.24*1000/12</f>
        <v>20</v>
      </c>
      <c r="J319" s="6" t="s">
        <v>309</v>
      </c>
      <c r="K319" s="7">
        <f>I319*G319/1000</f>
        <v>30.9</v>
      </c>
      <c r="L319" s="17" t="s">
        <v>310</v>
      </c>
      <c r="M319" s="7">
        <f>193/12.01</f>
        <v>16.069941715237302</v>
      </c>
      <c r="N319" s="6" t="s">
        <v>311</v>
      </c>
      <c r="O319" s="8">
        <f t="shared" si="10"/>
        <v>1.9228445595854922</v>
      </c>
      <c r="P319" s="17" t="s">
        <v>312</v>
      </c>
      <c r="Q319" s="2" t="s">
        <v>313</v>
      </c>
    </row>
    <row r="320" spans="2:15" ht="13.5" customHeight="1">
      <c r="B320" s="2" t="s">
        <v>314</v>
      </c>
      <c r="D320" s="2">
        <v>21.5</v>
      </c>
      <c r="E320" s="2">
        <v>64</v>
      </c>
      <c r="F320" s="2">
        <v>130</v>
      </c>
      <c r="G320" s="2">
        <v>1860</v>
      </c>
      <c r="I320" s="7">
        <f>0.52*1000/12</f>
        <v>43.333333333333336</v>
      </c>
      <c r="K320" s="7">
        <f>I320*G320/1000</f>
        <v>80.6</v>
      </c>
      <c r="M320" s="7">
        <f>643/12.01</f>
        <v>53.53871773522065</v>
      </c>
      <c r="O320" s="8">
        <f t="shared" si="10"/>
        <v>1.5054525660964229</v>
      </c>
    </row>
    <row r="321" spans="10:15" s="23" customFormat="1" ht="13.5" customHeight="1">
      <c r="J321" s="19"/>
      <c r="L321" s="24"/>
      <c r="O321" s="25"/>
    </row>
    <row r="322" spans="1:17" ht="13.5" customHeight="1">
      <c r="A322" s="2" t="s">
        <v>315</v>
      </c>
      <c r="B322" s="60">
        <v>36708</v>
      </c>
      <c r="C322" s="2">
        <v>5</v>
      </c>
      <c r="D322" s="2">
        <v>27.5</v>
      </c>
      <c r="E322" s="2">
        <v>95.18</v>
      </c>
      <c r="F322" s="2">
        <v>75</v>
      </c>
      <c r="G322" s="2">
        <v>1997</v>
      </c>
      <c r="H322" s="2" t="s">
        <v>228</v>
      </c>
      <c r="I322" s="2">
        <v>4.5</v>
      </c>
      <c r="K322" s="7">
        <v>20.11</v>
      </c>
      <c r="N322" s="2" t="s">
        <v>316</v>
      </c>
      <c r="Q322" s="2" t="s">
        <v>317</v>
      </c>
    </row>
    <row r="323" spans="3:17" ht="13.5" customHeight="1">
      <c r="C323" s="2">
        <v>7</v>
      </c>
      <c r="D323" s="2">
        <v>26</v>
      </c>
      <c r="E323" s="2">
        <v>95.33</v>
      </c>
      <c r="F323" s="2">
        <v>75</v>
      </c>
      <c r="G323" s="2">
        <v>919</v>
      </c>
      <c r="I323" s="2">
        <v>1.7</v>
      </c>
      <c r="K323" s="7">
        <v>1.61</v>
      </c>
      <c r="Q323" s="2" t="s">
        <v>318</v>
      </c>
    </row>
    <row r="324" spans="10:15" s="23" customFormat="1" ht="13.5" customHeight="1">
      <c r="J324" s="19"/>
      <c r="L324" s="24"/>
      <c r="O324" s="25"/>
    </row>
    <row r="325" spans="1:17" ht="66" customHeight="1">
      <c r="A325" s="2" t="s">
        <v>319</v>
      </c>
      <c r="B325" s="47" t="s">
        <v>320</v>
      </c>
      <c r="C325" s="2" t="s">
        <v>321</v>
      </c>
      <c r="D325" s="7">
        <v>43.416666666666664</v>
      </c>
      <c r="E325" s="7">
        <v>7.85</v>
      </c>
      <c r="F325" s="2">
        <v>40</v>
      </c>
      <c r="G325" s="2">
        <f>(1985+1688)/2</f>
        <v>1836.5</v>
      </c>
      <c r="H325" s="2" t="s">
        <v>232</v>
      </c>
      <c r="I325" s="2">
        <f>(4.9+5.2)/2</f>
        <v>5.050000000000001</v>
      </c>
      <c r="J325" s="6" t="s">
        <v>322</v>
      </c>
      <c r="K325" s="7">
        <f>I325*G325/1000</f>
        <v>9.274325000000001</v>
      </c>
      <c r="M325" s="2" t="s">
        <v>323</v>
      </c>
      <c r="O325" s="8" t="s">
        <v>324</v>
      </c>
      <c r="P325" s="6" t="s">
        <v>325</v>
      </c>
      <c r="Q325" s="2" t="s">
        <v>326</v>
      </c>
    </row>
    <row r="326" spans="2:15" ht="13.5" customHeight="1">
      <c r="B326" s="47" t="s">
        <v>327</v>
      </c>
      <c r="D326" s="7">
        <v>43.416666666666664</v>
      </c>
      <c r="E326" s="7">
        <v>7.85</v>
      </c>
      <c r="F326" s="2">
        <v>40</v>
      </c>
      <c r="G326" s="2">
        <v>183</v>
      </c>
      <c r="I326" s="2">
        <v>7.8</v>
      </c>
      <c r="K326" s="7">
        <f>I326*G326/1000</f>
        <v>1.4273999999999998</v>
      </c>
      <c r="M326" s="2" t="s">
        <v>328</v>
      </c>
      <c r="O326" s="8" t="s">
        <v>329</v>
      </c>
    </row>
    <row r="327" spans="2:15" s="23" customFormat="1" ht="13.5" customHeight="1">
      <c r="B327" s="57"/>
      <c r="D327" s="24"/>
      <c r="E327" s="24"/>
      <c r="J327" s="19"/>
      <c r="L327" s="24"/>
      <c r="O327" s="25"/>
    </row>
    <row r="328" spans="1:17" ht="54.75" customHeight="1">
      <c r="A328" s="2" t="s">
        <v>330</v>
      </c>
      <c r="B328" s="47">
        <v>36330</v>
      </c>
      <c r="D328" s="7">
        <v>58.76</v>
      </c>
      <c r="E328" s="7">
        <v>3.3</v>
      </c>
      <c r="F328" s="2">
        <v>43</v>
      </c>
      <c r="G328" s="2">
        <v>147</v>
      </c>
      <c r="H328" s="2" t="s">
        <v>228</v>
      </c>
      <c r="I328" s="7">
        <f aca="true" t="shared" si="12" ref="I328:I339">K328*1000/G328</f>
        <v>46.326530612244895</v>
      </c>
      <c r="J328" s="6" t="s">
        <v>331</v>
      </c>
      <c r="K328" s="2">
        <v>6.81</v>
      </c>
      <c r="M328" s="2">
        <v>50</v>
      </c>
      <c r="N328" s="6" t="s">
        <v>332</v>
      </c>
      <c r="O328" s="64">
        <f aca="true" t="shared" si="13" ref="O328:O342">K328/M328</f>
        <v>0.1362</v>
      </c>
      <c r="Q328" s="2" t="s">
        <v>333</v>
      </c>
    </row>
    <row r="329" spans="2:15" ht="12.75" customHeight="1">
      <c r="B329" s="47">
        <v>36330</v>
      </c>
      <c r="D329" s="7">
        <v>58.76</v>
      </c>
      <c r="E329" s="7">
        <v>3.3</v>
      </c>
      <c r="F329" s="2">
        <v>75</v>
      </c>
      <c r="G329" s="2">
        <v>210</v>
      </c>
      <c r="I329" s="7">
        <f t="shared" si="12"/>
        <v>13</v>
      </c>
      <c r="K329" s="2">
        <v>2.73</v>
      </c>
      <c r="M329" s="2">
        <v>50</v>
      </c>
      <c r="O329" s="64">
        <f t="shared" si="13"/>
        <v>0.0546</v>
      </c>
    </row>
    <row r="330" spans="2:15" ht="12.75" customHeight="1">
      <c r="B330" s="47">
        <v>36330</v>
      </c>
      <c r="D330" s="7">
        <v>58.76</v>
      </c>
      <c r="E330" s="7">
        <v>3.3</v>
      </c>
      <c r="F330" s="2" t="s">
        <v>334</v>
      </c>
      <c r="G330" s="2">
        <f>G328+G329</f>
        <v>357</v>
      </c>
      <c r="I330" s="7">
        <f t="shared" si="12"/>
        <v>26.722689075630253</v>
      </c>
      <c r="K330" s="2">
        <f>K328+K329</f>
        <v>9.54</v>
      </c>
      <c r="M330" s="2">
        <v>50</v>
      </c>
      <c r="O330" s="64">
        <f t="shared" si="13"/>
        <v>0.19079999999999997</v>
      </c>
    </row>
    <row r="331" spans="2:15" ht="12.75" customHeight="1">
      <c r="B331" s="47">
        <v>36333</v>
      </c>
      <c r="D331" s="7">
        <v>58.422</v>
      </c>
      <c r="E331" s="7">
        <v>3.47416666666667</v>
      </c>
      <c r="F331" s="2">
        <v>35</v>
      </c>
      <c r="G331" s="2">
        <v>384</v>
      </c>
      <c r="I331" s="7">
        <f t="shared" si="12"/>
        <v>21.067708333333332</v>
      </c>
      <c r="K331" s="2">
        <v>8.09</v>
      </c>
      <c r="M331" s="2">
        <v>91</v>
      </c>
      <c r="O331" s="8">
        <f t="shared" si="13"/>
        <v>0.0889010989010989</v>
      </c>
    </row>
    <row r="332" spans="2:15" ht="12.75" customHeight="1">
      <c r="B332" s="47">
        <v>36333</v>
      </c>
      <c r="D332" s="7">
        <v>58.422</v>
      </c>
      <c r="E332" s="7">
        <v>3.47416666666667</v>
      </c>
      <c r="F332" s="2">
        <v>75</v>
      </c>
      <c r="G332" s="2">
        <v>363</v>
      </c>
      <c r="I332" s="7">
        <f t="shared" si="12"/>
        <v>11.735537190082646</v>
      </c>
      <c r="K332" s="2">
        <v>4.26</v>
      </c>
      <c r="M332" s="2">
        <v>91</v>
      </c>
      <c r="O332" s="8">
        <f t="shared" si="13"/>
        <v>0.04681318681318681</v>
      </c>
    </row>
    <row r="333" spans="2:15" ht="12.75" customHeight="1">
      <c r="B333" s="47">
        <v>36333</v>
      </c>
      <c r="D333" s="7">
        <v>58.422</v>
      </c>
      <c r="E333" s="7">
        <v>3.47416666666667</v>
      </c>
      <c r="F333" s="2" t="s">
        <v>334</v>
      </c>
      <c r="G333" s="2">
        <f>G331+G332</f>
        <v>747</v>
      </c>
      <c r="I333" s="7">
        <f t="shared" si="12"/>
        <v>16.532797858099062</v>
      </c>
      <c r="K333" s="2">
        <f>K331+K332</f>
        <v>12.35</v>
      </c>
      <c r="M333" s="2">
        <v>91</v>
      </c>
      <c r="O333" s="8">
        <f t="shared" si="13"/>
        <v>0.1357142857142857</v>
      </c>
    </row>
    <row r="334" spans="2:15" ht="13.5" customHeight="1">
      <c r="B334" s="47">
        <v>36336</v>
      </c>
      <c r="D334" s="7">
        <v>58.26883333333333</v>
      </c>
      <c r="E334" s="7">
        <v>3.48</v>
      </c>
      <c r="F334" s="2">
        <v>31</v>
      </c>
      <c r="G334" s="2">
        <v>649</v>
      </c>
      <c r="I334" s="7">
        <f t="shared" si="12"/>
        <v>38.89060092449923</v>
      </c>
      <c r="K334" s="2">
        <v>25.24</v>
      </c>
      <c r="M334" s="2">
        <v>50</v>
      </c>
      <c r="O334" s="8">
        <f t="shared" si="13"/>
        <v>0.5047999999999999</v>
      </c>
    </row>
    <row r="335" spans="2:15" ht="13.5" customHeight="1">
      <c r="B335" s="47">
        <v>36336</v>
      </c>
      <c r="D335" s="7">
        <v>58.26883333333333</v>
      </c>
      <c r="E335" s="7">
        <v>3.48</v>
      </c>
      <c r="F335" s="2">
        <v>75</v>
      </c>
      <c r="G335" s="2">
        <v>737</v>
      </c>
      <c r="I335" s="7">
        <f t="shared" si="12"/>
        <v>31.0719131614654</v>
      </c>
      <c r="K335" s="2">
        <v>22.9</v>
      </c>
      <c r="M335" s="2">
        <v>50</v>
      </c>
      <c r="O335" s="8">
        <f t="shared" si="13"/>
        <v>0.45799999999999996</v>
      </c>
    </row>
    <row r="336" spans="2:15" ht="13.5" customHeight="1">
      <c r="B336" s="47">
        <v>36336</v>
      </c>
      <c r="D336" s="7">
        <v>58.26883333333333</v>
      </c>
      <c r="E336" s="7">
        <v>3.48</v>
      </c>
      <c r="F336" s="2" t="s">
        <v>334</v>
      </c>
      <c r="G336" s="2">
        <f>G334+G335</f>
        <v>1386</v>
      </c>
      <c r="I336" s="7">
        <f t="shared" si="12"/>
        <v>34.733044733044736</v>
      </c>
      <c r="K336" s="2">
        <f>K334+K335</f>
        <v>48.14</v>
      </c>
      <c r="M336" s="2">
        <v>50</v>
      </c>
      <c r="O336" s="8">
        <f t="shared" si="13"/>
        <v>0.9628</v>
      </c>
    </row>
    <row r="337" spans="2:15" ht="13.5" customHeight="1">
      <c r="B337" s="47">
        <v>36338</v>
      </c>
      <c r="D337" s="7">
        <v>58.69016666666667</v>
      </c>
      <c r="E337" s="7">
        <v>3.619666666666667</v>
      </c>
      <c r="F337" s="2">
        <v>30</v>
      </c>
      <c r="G337" s="2">
        <v>413</v>
      </c>
      <c r="I337" s="7">
        <f t="shared" si="12"/>
        <v>34.04358353510896</v>
      </c>
      <c r="K337" s="2">
        <v>14.06</v>
      </c>
      <c r="M337" s="2">
        <v>48</v>
      </c>
      <c r="O337" s="8">
        <f t="shared" si="13"/>
        <v>0.29291666666666666</v>
      </c>
    </row>
    <row r="338" spans="2:15" ht="13.5" customHeight="1">
      <c r="B338" s="47">
        <v>36338</v>
      </c>
      <c r="D338" s="7">
        <v>58.69016666666667</v>
      </c>
      <c r="E338" s="7">
        <v>3.619666666666667</v>
      </c>
      <c r="F338" s="2">
        <v>75</v>
      </c>
      <c r="G338" s="2">
        <v>703</v>
      </c>
      <c r="I338" s="7">
        <f t="shared" si="12"/>
        <v>11.721194879089616</v>
      </c>
      <c r="K338" s="2">
        <v>8.24</v>
      </c>
      <c r="M338" s="2">
        <v>48</v>
      </c>
      <c r="O338" s="8">
        <f t="shared" si="13"/>
        <v>0.17166666666666666</v>
      </c>
    </row>
    <row r="339" spans="2:15" ht="13.5" customHeight="1">
      <c r="B339" s="47">
        <v>36338</v>
      </c>
      <c r="D339" s="7">
        <v>58.69016666666667</v>
      </c>
      <c r="E339" s="7">
        <v>3.619666666666667</v>
      </c>
      <c r="F339" s="2" t="s">
        <v>334</v>
      </c>
      <c r="G339" s="2">
        <f>G337+G338</f>
        <v>1116</v>
      </c>
      <c r="I339" s="7">
        <f t="shared" si="12"/>
        <v>19.982078853046595</v>
      </c>
      <c r="K339" s="2">
        <f>K337+K338</f>
        <v>22.3</v>
      </c>
      <c r="M339" s="2">
        <v>48</v>
      </c>
      <c r="O339" s="8">
        <f t="shared" si="13"/>
        <v>0.46458333333333335</v>
      </c>
    </row>
    <row r="340" spans="10:15" s="23" customFormat="1" ht="13.5" customHeight="1">
      <c r="J340" s="19"/>
      <c r="L340" s="24"/>
      <c r="O340" s="25"/>
    </row>
    <row r="341" spans="1:17" ht="64.5" customHeight="1">
      <c r="A341" s="2" t="s">
        <v>335</v>
      </c>
      <c r="B341" s="47">
        <v>35995</v>
      </c>
      <c r="C341" s="2" t="s">
        <v>336</v>
      </c>
      <c r="D341" s="7">
        <v>78.02</v>
      </c>
      <c r="E341" s="7">
        <v>73.85</v>
      </c>
      <c r="F341" s="2">
        <v>50</v>
      </c>
      <c r="G341" s="48">
        <v>1200</v>
      </c>
      <c r="H341" s="2" t="s">
        <v>228</v>
      </c>
      <c r="I341" s="2">
        <v>20.4</v>
      </c>
      <c r="J341" s="6" t="s">
        <v>337</v>
      </c>
      <c r="K341" s="7">
        <f>I341*G341/1000</f>
        <v>24.48</v>
      </c>
      <c r="L341" s="65" t="s">
        <v>338</v>
      </c>
      <c r="M341" s="7">
        <f>976/12</f>
        <v>81.33333333333333</v>
      </c>
      <c r="O341" s="8">
        <f t="shared" si="13"/>
        <v>0.30098360655737705</v>
      </c>
      <c r="Q341" s="2" t="s">
        <v>339</v>
      </c>
    </row>
    <row r="342" spans="1:17" ht="13.5" customHeight="1">
      <c r="A342" s="2" t="s">
        <v>340</v>
      </c>
      <c r="B342" s="47">
        <v>35995</v>
      </c>
      <c r="C342" s="2" t="s">
        <v>336</v>
      </c>
      <c r="D342" s="7">
        <v>78.02</v>
      </c>
      <c r="E342" s="7">
        <v>73.85</v>
      </c>
      <c r="F342" s="2">
        <v>100</v>
      </c>
      <c r="G342" s="48">
        <v>1700</v>
      </c>
      <c r="H342" s="6"/>
      <c r="I342" s="2">
        <v>16.1</v>
      </c>
      <c r="K342" s="7">
        <f>I342*G342/1000</f>
        <v>27.370000000000005</v>
      </c>
      <c r="L342" s="66"/>
      <c r="M342" s="7">
        <f>976/12</f>
        <v>81.33333333333333</v>
      </c>
      <c r="O342" s="8">
        <f t="shared" si="13"/>
        <v>0.336516393442623</v>
      </c>
      <c r="Q342" s="2" t="s">
        <v>341</v>
      </c>
    </row>
    <row r="343" spans="2:15" ht="28.5" customHeight="1">
      <c r="B343" s="47">
        <v>35995</v>
      </c>
      <c r="C343" s="2" t="s">
        <v>342</v>
      </c>
      <c r="D343" s="7">
        <v>78.02</v>
      </c>
      <c r="E343" s="7">
        <v>73.85</v>
      </c>
      <c r="F343" s="2">
        <v>50</v>
      </c>
      <c r="G343" s="48">
        <v>1200</v>
      </c>
      <c r="I343" s="2">
        <v>45.6</v>
      </c>
      <c r="J343" s="6" t="s">
        <v>343</v>
      </c>
      <c r="K343" s="7">
        <f aca="true" t="shared" si="14" ref="K343:K382">I343*G343/1000</f>
        <v>54.72</v>
      </c>
      <c r="L343" s="66"/>
      <c r="M343" s="7">
        <f>976/12</f>
        <v>81.33333333333333</v>
      </c>
      <c r="O343" s="8">
        <f aca="true" t="shared" si="15" ref="O343:O349">K343/M343</f>
        <v>0.6727868852459017</v>
      </c>
    </row>
    <row r="344" spans="2:15" ht="14.25" customHeight="1">
      <c r="B344" s="47">
        <v>35995</v>
      </c>
      <c r="C344" s="2" t="s">
        <v>342</v>
      </c>
      <c r="D344" s="7">
        <v>78.02</v>
      </c>
      <c r="E344" s="7">
        <v>73.85</v>
      </c>
      <c r="F344" s="2">
        <v>100</v>
      </c>
      <c r="G344" s="48">
        <v>1700</v>
      </c>
      <c r="H344" s="6"/>
      <c r="I344" s="2">
        <v>10.9</v>
      </c>
      <c r="K344" s="7">
        <f t="shared" si="14"/>
        <v>18.53</v>
      </c>
      <c r="L344" s="66"/>
      <c r="M344" s="7">
        <f>976/12</f>
        <v>81.33333333333333</v>
      </c>
      <c r="O344" s="8">
        <f t="shared" si="15"/>
        <v>0.22782786885245904</v>
      </c>
    </row>
    <row r="345" ht="13.5" customHeight="1">
      <c r="H345" s="6"/>
    </row>
    <row r="346" spans="2:16" ht="13.5" customHeight="1">
      <c r="B346" s="47">
        <v>35980</v>
      </c>
      <c r="C346" s="2" t="s">
        <v>344</v>
      </c>
      <c r="D346" s="7">
        <v>76.02</v>
      </c>
      <c r="E346" s="7">
        <v>74.39</v>
      </c>
      <c r="F346" s="2">
        <v>50</v>
      </c>
      <c r="G346" s="2">
        <v>1600</v>
      </c>
      <c r="H346" s="6"/>
      <c r="I346" s="2">
        <v>14.7</v>
      </c>
      <c r="J346" s="6" t="s">
        <v>85</v>
      </c>
      <c r="K346" s="7">
        <f t="shared" si="14"/>
        <v>23.52</v>
      </c>
      <c r="M346" s="7">
        <f>269/12</f>
        <v>22.416666666666668</v>
      </c>
      <c r="O346" s="8">
        <f t="shared" si="15"/>
        <v>1.0492193308550186</v>
      </c>
      <c r="P346" s="2" t="s">
        <v>200</v>
      </c>
    </row>
    <row r="347" spans="2:16" ht="13.5" customHeight="1">
      <c r="B347" s="47">
        <v>35980</v>
      </c>
      <c r="C347" s="2" t="s">
        <v>344</v>
      </c>
      <c r="D347" s="7">
        <v>76.02</v>
      </c>
      <c r="E347" s="7">
        <v>74.39</v>
      </c>
      <c r="F347" s="2">
        <v>100</v>
      </c>
      <c r="G347" s="2">
        <v>1600</v>
      </c>
      <c r="H347" s="6"/>
      <c r="I347" s="2">
        <v>28.2</v>
      </c>
      <c r="J347" s="6" t="s">
        <v>85</v>
      </c>
      <c r="K347" s="7">
        <f t="shared" si="14"/>
        <v>45.12</v>
      </c>
      <c r="M347" s="7">
        <f aca="true" t="shared" si="16" ref="M347:M354">269/12</f>
        <v>22.416666666666668</v>
      </c>
      <c r="O347" s="8">
        <f t="shared" si="15"/>
        <v>2.012788104089219</v>
      </c>
      <c r="P347" s="2" t="s">
        <v>200</v>
      </c>
    </row>
    <row r="348" spans="2:16" ht="13.5" customHeight="1">
      <c r="B348" s="47">
        <v>35980</v>
      </c>
      <c r="C348" s="2" t="s">
        <v>345</v>
      </c>
      <c r="D348" s="7">
        <v>76.02</v>
      </c>
      <c r="E348" s="7">
        <v>74.39</v>
      </c>
      <c r="F348" s="2">
        <v>50</v>
      </c>
      <c r="G348" s="2">
        <v>1600</v>
      </c>
      <c r="H348" s="6"/>
      <c r="I348" s="2">
        <v>18.3</v>
      </c>
      <c r="J348" s="6" t="s">
        <v>346</v>
      </c>
      <c r="K348" s="7">
        <f t="shared" si="14"/>
        <v>29.28</v>
      </c>
      <c r="M348" s="7">
        <f t="shared" si="16"/>
        <v>22.416666666666668</v>
      </c>
      <c r="O348" s="8">
        <f t="shared" si="15"/>
        <v>1.306171003717472</v>
      </c>
      <c r="P348" s="2" t="s">
        <v>200</v>
      </c>
    </row>
    <row r="349" spans="2:15" ht="13.5" customHeight="1">
      <c r="B349" s="47">
        <v>35980</v>
      </c>
      <c r="C349" s="2" t="s">
        <v>345</v>
      </c>
      <c r="D349" s="7">
        <v>76.02</v>
      </c>
      <c r="E349" s="7">
        <v>74.39</v>
      </c>
      <c r="F349" s="2">
        <v>100</v>
      </c>
      <c r="G349" s="2">
        <v>1600</v>
      </c>
      <c r="H349" s="6"/>
      <c r="I349" s="2">
        <v>10.8</v>
      </c>
      <c r="J349" s="6" t="s">
        <v>346</v>
      </c>
      <c r="K349" s="7">
        <f t="shared" si="14"/>
        <v>17.28</v>
      </c>
      <c r="M349" s="7">
        <f t="shared" si="16"/>
        <v>22.416666666666668</v>
      </c>
      <c r="O349" s="8">
        <f t="shared" si="15"/>
        <v>0.7708550185873606</v>
      </c>
    </row>
    <row r="350" ht="13.5" customHeight="1">
      <c r="H350" s="6"/>
    </row>
    <row r="351" spans="2:16" ht="13.5" customHeight="1">
      <c r="B351" s="47">
        <v>35984</v>
      </c>
      <c r="C351" s="2" t="s">
        <v>347</v>
      </c>
      <c r="D351" s="7">
        <v>76.42</v>
      </c>
      <c r="E351" s="7">
        <v>74.34</v>
      </c>
      <c r="F351" s="2">
        <v>50</v>
      </c>
      <c r="G351" s="2">
        <v>2000</v>
      </c>
      <c r="H351" s="6"/>
      <c r="I351" s="2">
        <v>44.7</v>
      </c>
      <c r="J351" s="6" t="s">
        <v>85</v>
      </c>
      <c r="K351" s="7">
        <f t="shared" si="14"/>
        <v>89.4</v>
      </c>
      <c r="M351" s="7">
        <f t="shared" si="16"/>
        <v>22.416666666666668</v>
      </c>
      <c r="O351" s="8">
        <f aca="true" t="shared" si="17" ref="O351:O377">K351/M351</f>
        <v>3.988104089219331</v>
      </c>
      <c r="P351" s="2" t="s">
        <v>200</v>
      </c>
    </row>
    <row r="352" spans="2:16" ht="13.5" customHeight="1">
      <c r="B352" s="47">
        <v>35984</v>
      </c>
      <c r="C352" s="2" t="s">
        <v>347</v>
      </c>
      <c r="D352" s="7">
        <v>76.42</v>
      </c>
      <c r="E352" s="7">
        <v>74.34</v>
      </c>
      <c r="F352" s="2">
        <v>100</v>
      </c>
      <c r="G352" s="2">
        <v>2400</v>
      </c>
      <c r="H352" s="6"/>
      <c r="I352" s="2">
        <v>18.4</v>
      </c>
      <c r="J352" s="6" t="s">
        <v>85</v>
      </c>
      <c r="K352" s="7">
        <f t="shared" si="14"/>
        <v>44.16</v>
      </c>
      <c r="M352" s="7">
        <f t="shared" si="16"/>
        <v>22.416666666666668</v>
      </c>
      <c r="O352" s="8">
        <f t="shared" si="17"/>
        <v>1.9699628252788102</v>
      </c>
      <c r="P352" s="2" t="s">
        <v>200</v>
      </c>
    </row>
    <row r="353" spans="2:16" ht="13.5" customHeight="1">
      <c r="B353" s="47">
        <v>35984</v>
      </c>
      <c r="C353" s="2" t="s">
        <v>348</v>
      </c>
      <c r="D353" s="7">
        <v>76.42</v>
      </c>
      <c r="E353" s="7">
        <v>74.34</v>
      </c>
      <c r="F353" s="2">
        <v>50</v>
      </c>
      <c r="G353" s="2">
        <v>2000</v>
      </c>
      <c r="H353" s="6"/>
      <c r="I353" s="2">
        <v>21.3</v>
      </c>
      <c r="J353" s="6" t="s">
        <v>346</v>
      </c>
      <c r="K353" s="7">
        <f t="shared" si="14"/>
        <v>42.6</v>
      </c>
      <c r="M353" s="7">
        <f t="shared" si="16"/>
        <v>22.416666666666668</v>
      </c>
      <c r="O353" s="8">
        <f t="shared" si="17"/>
        <v>1.900371747211896</v>
      </c>
      <c r="P353" s="2" t="s">
        <v>200</v>
      </c>
    </row>
    <row r="354" spans="2:16" ht="13.5" customHeight="1">
      <c r="B354" s="47">
        <v>35984</v>
      </c>
      <c r="C354" s="2" t="s">
        <v>348</v>
      </c>
      <c r="D354" s="7">
        <v>76.42</v>
      </c>
      <c r="E354" s="7">
        <v>74.34</v>
      </c>
      <c r="F354" s="2">
        <v>100</v>
      </c>
      <c r="G354" s="2">
        <v>2400</v>
      </c>
      <c r="H354" s="6"/>
      <c r="I354" s="2">
        <v>41.8</v>
      </c>
      <c r="J354" s="6" t="s">
        <v>346</v>
      </c>
      <c r="K354" s="7">
        <f t="shared" si="14"/>
        <v>100.32</v>
      </c>
      <c r="M354" s="7">
        <f t="shared" si="16"/>
        <v>22.416666666666668</v>
      </c>
      <c r="O354" s="8">
        <f t="shared" si="17"/>
        <v>4.475241635687731</v>
      </c>
      <c r="P354" s="2" t="s">
        <v>200</v>
      </c>
    </row>
    <row r="355" spans="2:13" ht="13.5" customHeight="1">
      <c r="B355" s="47"/>
      <c r="D355" s="7"/>
      <c r="E355" s="7"/>
      <c r="H355" s="6"/>
      <c r="K355" s="7"/>
      <c r="M355" s="7"/>
    </row>
    <row r="356" spans="2:15" ht="13.5" customHeight="1">
      <c r="B356" s="47">
        <v>36403</v>
      </c>
      <c r="C356" s="2" t="s">
        <v>349</v>
      </c>
      <c r="D356" s="7">
        <v>76.02</v>
      </c>
      <c r="E356" s="7">
        <v>73.31</v>
      </c>
      <c r="F356" s="2">
        <v>100</v>
      </c>
      <c r="G356" s="2">
        <v>1200</v>
      </c>
      <c r="H356" s="6"/>
      <c r="I356" s="2">
        <v>5.7</v>
      </c>
      <c r="J356" s="6" t="s">
        <v>85</v>
      </c>
      <c r="K356" s="7">
        <f t="shared" si="14"/>
        <v>6.84</v>
      </c>
      <c r="M356" s="7">
        <f>1951/12</f>
        <v>162.58333333333334</v>
      </c>
      <c r="O356" s="8">
        <f t="shared" si="17"/>
        <v>0.04207073295745771</v>
      </c>
    </row>
    <row r="357" spans="2:15" ht="13.5" customHeight="1">
      <c r="B357" s="47">
        <v>36403</v>
      </c>
      <c r="C357" s="2" t="s">
        <v>350</v>
      </c>
      <c r="D357" s="7">
        <v>76.02</v>
      </c>
      <c r="E357" s="7">
        <v>73.31</v>
      </c>
      <c r="F357" s="2">
        <v>75</v>
      </c>
      <c r="G357" s="2">
        <v>1200</v>
      </c>
      <c r="H357" s="6"/>
      <c r="I357" s="2">
        <v>10.4</v>
      </c>
      <c r="J357" s="6" t="s">
        <v>346</v>
      </c>
      <c r="K357" s="7">
        <f t="shared" si="14"/>
        <v>12.48</v>
      </c>
      <c r="M357" s="7">
        <f>1951/12</f>
        <v>162.58333333333334</v>
      </c>
      <c r="O357" s="8">
        <f t="shared" si="17"/>
        <v>0.0767606355715018</v>
      </c>
    </row>
    <row r="358" ht="13.5" customHeight="1">
      <c r="H358" s="6"/>
    </row>
    <row r="359" spans="2:15" ht="13.5" customHeight="1">
      <c r="B359" s="47">
        <v>36408</v>
      </c>
      <c r="C359" s="2" t="s">
        <v>351</v>
      </c>
      <c r="D359" s="7">
        <v>77</v>
      </c>
      <c r="E359" s="7">
        <v>72.66</v>
      </c>
      <c r="F359" s="2">
        <v>25</v>
      </c>
      <c r="G359" s="2">
        <v>700</v>
      </c>
      <c r="I359" s="2">
        <v>14.3</v>
      </c>
      <c r="J359" s="6" t="s">
        <v>85</v>
      </c>
      <c r="K359" s="7">
        <f t="shared" si="14"/>
        <v>10.01</v>
      </c>
      <c r="M359" s="7">
        <f>733/12</f>
        <v>61.083333333333336</v>
      </c>
      <c r="O359" s="8">
        <f t="shared" si="17"/>
        <v>0.1638744884038199</v>
      </c>
    </row>
    <row r="360" spans="2:15" ht="13.5" customHeight="1">
      <c r="B360" s="47">
        <v>36408</v>
      </c>
      <c r="C360" s="2" t="s">
        <v>351</v>
      </c>
      <c r="D360" s="7">
        <v>77</v>
      </c>
      <c r="E360" s="7">
        <v>72.66</v>
      </c>
      <c r="F360" s="2">
        <v>50</v>
      </c>
      <c r="G360" s="2">
        <v>900</v>
      </c>
      <c r="I360" s="2">
        <v>15.4</v>
      </c>
      <c r="J360" s="6" t="s">
        <v>85</v>
      </c>
      <c r="K360" s="7">
        <f t="shared" si="14"/>
        <v>13.86</v>
      </c>
      <c r="M360" s="7">
        <f aca="true" t="shared" si="18" ref="M360:M371">733/12</f>
        <v>61.083333333333336</v>
      </c>
      <c r="O360" s="8">
        <f t="shared" si="17"/>
        <v>0.22690313778990448</v>
      </c>
    </row>
    <row r="361" spans="2:15" ht="13.5" customHeight="1">
      <c r="B361" s="47">
        <v>36408</v>
      </c>
      <c r="C361" s="2" t="s">
        <v>351</v>
      </c>
      <c r="D361" s="7">
        <v>77</v>
      </c>
      <c r="E361" s="7">
        <v>72.66</v>
      </c>
      <c r="F361" s="2">
        <v>100</v>
      </c>
      <c r="G361" s="2">
        <v>1000</v>
      </c>
      <c r="I361" s="2">
        <v>5.9</v>
      </c>
      <c r="J361" s="6" t="s">
        <v>85</v>
      </c>
      <c r="K361" s="7">
        <f t="shared" si="14"/>
        <v>5.9</v>
      </c>
      <c r="M361" s="7">
        <f t="shared" si="18"/>
        <v>61.083333333333336</v>
      </c>
      <c r="O361" s="8">
        <f t="shared" si="17"/>
        <v>0.0965893587994543</v>
      </c>
    </row>
    <row r="362" spans="2:15" ht="13.5" customHeight="1">
      <c r="B362" s="47">
        <v>36408</v>
      </c>
      <c r="C362" s="2" t="s">
        <v>352</v>
      </c>
      <c r="D362" s="7">
        <v>77</v>
      </c>
      <c r="E362" s="7">
        <v>72.66</v>
      </c>
      <c r="F362" s="2">
        <v>25</v>
      </c>
      <c r="G362" s="2">
        <v>700</v>
      </c>
      <c r="I362" s="2">
        <v>12.5</v>
      </c>
      <c r="J362" s="6" t="s">
        <v>346</v>
      </c>
      <c r="K362" s="7">
        <f t="shared" si="14"/>
        <v>8.75</v>
      </c>
      <c r="M362" s="7">
        <f t="shared" si="18"/>
        <v>61.083333333333336</v>
      </c>
      <c r="O362" s="8">
        <f t="shared" si="17"/>
        <v>0.1432469304229195</v>
      </c>
    </row>
    <row r="363" spans="2:15" ht="13.5" customHeight="1">
      <c r="B363" s="47">
        <v>36408</v>
      </c>
      <c r="C363" s="2" t="s">
        <v>352</v>
      </c>
      <c r="D363" s="7">
        <v>77</v>
      </c>
      <c r="E363" s="7">
        <v>72.66</v>
      </c>
      <c r="F363" s="2">
        <v>50</v>
      </c>
      <c r="G363" s="2">
        <v>900</v>
      </c>
      <c r="I363" s="2">
        <v>8.3</v>
      </c>
      <c r="J363" s="6" t="s">
        <v>346</v>
      </c>
      <c r="K363" s="7">
        <f t="shared" si="14"/>
        <v>7.470000000000001</v>
      </c>
      <c r="M363" s="7">
        <f t="shared" si="18"/>
        <v>61.083333333333336</v>
      </c>
      <c r="O363" s="8">
        <f t="shared" si="17"/>
        <v>0.12229195088676671</v>
      </c>
    </row>
    <row r="364" spans="2:15" ht="13.5" customHeight="1">
      <c r="B364" s="47">
        <v>36408</v>
      </c>
      <c r="C364" s="2" t="s">
        <v>352</v>
      </c>
      <c r="D364" s="7">
        <v>77</v>
      </c>
      <c r="E364" s="7">
        <v>72.66</v>
      </c>
      <c r="F364" s="2">
        <v>100</v>
      </c>
      <c r="G364" s="2">
        <v>1000</v>
      </c>
      <c r="I364" s="2">
        <v>18</v>
      </c>
      <c r="J364" s="6" t="s">
        <v>346</v>
      </c>
      <c r="K364" s="7">
        <f t="shared" si="14"/>
        <v>18</v>
      </c>
      <c r="M364" s="7">
        <f t="shared" si="18"/>
        <v>61.083333333333336</v>
      </c>
      <c r="O364" s="8">
        <f t="shared" si="17"/>
        <v>0.2946793997271487</v>
      </c>
    </row>
    <row r="365" ht="13.5" customHeight="1">
      <c r="H365" s="6"/>
    </row>
    <row r="366" spans="2:15" ht="13.5" customHeight="1">
      <c r="B366" s="47">
        <v>36410</v>
      </c>
      <c r="C366" s="2" t="s">
        <v>353</v>
      </c>
      <c r="D366" s="7">
        <v>76.28</v>
      </c>
      <c r="E366" s="7">
        <v>71.99</v>
      </c>
      <c r="F366" s="2">
        <v>25</v>
      </c>
      <c r="G366" s="2">
        <v>300</v>
      </c>
      <c r="H366" s="6"/>
      <c r="I366" s="2">
        <v>13.9</v>
      </c>
      <c r="J366" s="6" t="s">
        <v>85</v>
      </c>
      <c r="K366" s="7">
        <f t="shared" si="14"/>
        <v>4.17</v>
      </c>
      <c r="M366" s="7">
        <f t="shared" si="18"/>
        <v>61.083333333333336</v>
      </c>
      <c r="O366" s="8">
        <f t="shared" si="17"/>
        <v>0.06826739427012278</v>
      </c>
    </row>
    <row r="367" spans="2:15" ht="13.5" customHeight="1">
      <c r="B367" s="47">
        <v>36410</v>
      </c>
      <c r="C367" s="2" t="s">
        <v>353</v>
      </c>
      <c r="D367" s="7">
        <v>76.28</v>
      </c>
      <c r="E367" s="7">
        <v>71.99</v>
      </c>
      <c r="F367" s="2">
        <v>50</v>
      </c>
      <c r="G367" s="2">
        <v>600</v>
      </c>
      <c r="H367" s="6"/>
      <c r="I367" s="2">
        <v>11.9</v>
      </c>
      <c r="J367" s="6" t="s">
        <v>85</v>
      </c>
      <c r="K367" s="7">
        <f t="shared" si="14"/>
        <v>7.14</v>
      </c>
      <c r="M367" s="7">
        <f t="shared" si="18"/>
        <v>61.083333333333336</v>
      </c>
      <c r="O367" s="8">
        <f t="shared" si="17"/>
        <v>0.11688949522510231</v>
      </c>
    </row>
    <row r="368" spans="2:15" ht="13.5" customHeight="1">
      <c r="B368" s="47">
        <v>36410</v>
      </c>
      <c r="C368" s="2" t="s">
        <v>353</v>
      </c>
      <c r="D368" s="7">
        <v>76.28</v>
      </c>
      <c r="E368" s="7">
        <v>71.99</v>
      </c>
      <c r="F368" s="2">
        <v>100</v>
      </c>
      <c r="G368" s="2">
        <v>800</v>
      </c>
      <c r="H368" s="6"/>
      <c r="I368" s="2">
        <v>8</v>
      </c>
      <c r="J368" s="6" t="s">
        <v>85</v>
      </c>
      <c r="K368" s="7">
        <f t="shared" si="14"/>
        <v>6.4</v>
      </c>
      <c r="M368" s="7">
        <f t="shared" si="18"/>
        <v>61.083333333333336</v>
      </c>
      <c r="O368" s="8">
        <f t="shared" si="17"/>
        <v>0.10477489768076398</v>
      </c>
    </row>
    <row r="369" spans="2:15" ht="13.5" customHeight="1">
      <c r="B369" s="47">
        <v>36410</v>
      </c>
      <c r="C369" s="2" t="s">
        <v>354</v>
      </c>
      <c r="D369" s="7">
        <v>76.28</v>
      </c>
      <c r="E369" s="7">
        <v>71.99</v>
      </c>
      <c r="F369" s="2">
        <v>25</v>
      </c>
      <c r="G369" s="2">
        <v>300</v>
      </c>
      <c r="H369" s="6"/>
      <c r="I369" s="2">
        <v>15.6</v>
      </c>
      <c r="J369" s="6" t="s">
        <v>346</v>
      </c>
      <c r="K369" s="7">
        <f t="shared" si="14"/>
        <v>4.68</v>
      </c>
      <c r="M369" s="7">
        <f t="shared" si="18"/>
        <v>61.083333333333336</v>
      </c>
      <c r="O369" s="8">
        <f t="shared" si="17"/>
        <v>0.07661664392905866</v>
      </c>
    </row>
    <row r="370" spans="2:15" ht="13.5" customHeight="1">
      <c r="B370" s="47">
        <v>36410</v>
      </c>
      <c r="C370" s="2" t="s">
        <v>354</v>
      </c>
      <c r="D370" s="7">
        <v>76.28</v>
      </c>
      <c r="E370" s="7">
        <v>71.99</v>
      </c>
      <c r="F370" s="2">
        <v>50</v>
      </c>
      <c r="G370" s="2">
        <v>600</v>
      </c>
      <c r="I370" s="2">
        <v>8.2</v>
      </c>
      <c r="J370" s="6" t="s">
        <v>346</v>
      </c>
      <c r="K370" s="7">
        <f t="shared" si="14"/>
        <v>4.92</v>
      </c>
      <c r="M370" s="7">
        <f t="shared" si="18"/>
        <v>61.083333333333336</v>
      </c>
      <c r="O370" s="8">
        <f t="shared" si="17"/>
        <v>0.0805457025920873</v>
      </c>
    </row>
    <row r="371" spans="2:15" ht="13.5" customHeight="1">
      <c r="B371" s="47">
        <v>36410</v>
      </c>
      <c r="C371" s="2" t="s">
        <v>354</v>
      </c>
      <c r="D371" s="7">
        <v>76.28</v>
      </c>
      <c r="E371" s="7">
        <v>71.99</v>
      </c>
      <c r="F371" s="2">
        <v>100</v>
      </c>
      <c r="G371" s="2">
        <v>800</v>
      </c>
      <c r="I371" s="2">
        <v>10.9</v>
      </c>
      <c r="J371" s="6" t="s">
        <v>346</v>
      </c>
      <c r="K371" s="7">
        <f t="shared" si="14"/>
        <v>8.72</v>
      </c>
      <c r="M371" s="7">
        <f t="shared" si="18"/>
        <v>61.083333333333336</v>
      </c>
      <c r="O371" s="8">
        <f t="shared" si="17"/>
        <v>0.14275579809004094</v>
      </c>
    </row>
    <row r="372" ht="13.5" customHeight="1"/>
    <row r="373" spans="2:15" ht="13.5" customHeight="1">
      <c r="B373" s="47">
        <v>36400</v>
      </c>
      <c r="C373" s="2" t="s">
        <v>355</v>
      </c>
      <c r="D373" s="7">
        <v>76.28</v>
      </c>
      <c r="E373" s="7">
        <v>74.39</v>
      </c>
      <c r="F373" s="2">
        <v>25</v>
      </c>
      <c r="G373" s="2">
        <v>600</v>
      </c>
      <c r="I373" s="2">
        <v>9.7</v>
      </c>
      <c r="J373" s="6" t="s">
        <v>85</v>
      </c>
      <c r="K373" s="7">
        <f t="shared" si="14"/>
        <v>5.82</v>
      </c>
      <c r="M373" s="7">
        <f>587/12</f>
        <v>48.916666666666664</v>
      </c>
      <c r="O373" s="8">
        <f t="shared" si="17"/>
        <v>0.11897785349233392</v>
      </c>
    </row>
    <row r="374" spans="2:15" ht="13.5" customHeight="1">
      <c r="B374" s="47">
        <v>36400</v>
      </c>
      <c r="C374" s="2" t="s">
        <v>355</v>
      </c>
      <c r="D374" s="7">
        <v>76.28</v>
      </c>
      <c r="E374" s="7">
        <v>74.39</v>
      </c>
      <c r="F374" s="2">
        <v>50</v>
      </c>
      <c r="G374" s="2">
        <v>1100</v>
      </c>
      <c r="I374" s="2">
        <v>6.1</v>
      </c>
      <c r="J374" s="6" t="s">
        <v>85</v>
      </c>
      <c r="K374" s="7">
        <f t="shared" si="14"/>
        <v>6.71</v>
      </c>
      <c r="M374" s="7">
        <f>587/12</f>
        <v>48.916666666666664</v>
      </c>
      <c r="O374" s="8">
        <f t="shared" si="17"/>
        <v>0.13717206132879048</v>
      </c>
    </row>
    <row r="375" spans="2:15" ht="13.5" customHeight="1">
      <c r="B375" s="47">
        <v>36400</v>
      </c>
      <c r="C375" s="2" t="s">
        <v>356</v>
      </c>
      <c r="D375" s="7">
        <v>76.28</v>
      </c>
      <c r="E375" s="7">
        <v>74.39</v>
      </c>
      <c r="F375" s="2">
        <v>25</v>
      </c>
      <c r="G375" s="2">
        <v>600</v>
      </c>
      <c r="I375" s="2">
        <v>10.6</v>
      </c>
      <c r="J375" s="6" t="s">
        <v>346</v>
      </c>
      <c r="K375" s="7">
        <f t="shared" si="14"/>
        <v>6.36</v>
      </c>
      <c r="M375" s="7">
        <f>587/12</f>
        <v>48.916666666666664</v>
      </c>
      <c r="O375" s="8">
        <f t="shared" si="17"/>
        <v>0.13001703577512777</v>
      </c>
    </row>
    <row r="376" spans="2:15" ht="13.5" customHeight="1">
      <c r="B376" s="47">
        <v>36400</v>
      </c>
      <c r="C376" s="2" t="s">
        <v>356</v>
      </c>
      <c r="D376" s="7">
        <v>76.28</v>
      </c>
      <c r="E376" s="7">
        <v>74.39</v>
      </c>
      <c r="F376" s="2">
        <v>50</v>
      </c>
      <c r="G376" s="2">
        <v>1100</v>
      </c>
      <c r="I376" s="2">
        <v>11.3</v>
      </c>
      <c r="J376" s="6" t="s">
        <v>346</v>
      </c>
      <c r="K376" s="7">
        <f t="shared" si="14"/>
        <v>12.43</v>
      </c>
      <c r="M376" s="7">
        <f>587/12</f>
        <v>48.916666666666664</v>
      </c>
      <c r="O376" s="8">
        <f t="shared" si="17"/>
        <v>0.25410562180579216</v>
      </c>
    </row>
    <row r="377" spans="2:15" ht="13.5" customHeight="1">
      <c r="B377" s="47">
        <v>36400</v>
      </c>
      <c r="C377" s="2" t="s">
        <v>356</v>
      </c>
      <c r="D377" s="7">
        <v>76.28</v>
      </c>
      <c r="E377" s="7">
        <v>74.39</v>
      </c>
      <c r="F377" s="2">
        <v>100</v>
      </c>
      <c r="G377" s="2">
        <v>1100</v>
      </c>
      <c r="I377" s="2">
        <v>10.5</v>
      </c>
      <c r="J377" s="6" t="s">
        <v>346</v>
      </c>
      <c r="K377" s="7">
        <f t="shared" si="14"/>
        <v>11.55</v>
      </c>
      <c r="M377" s="7">
        <f>587/12</f>
        <v>48.916666666666664</v>
      </c>
      <c r="O377" s="8">
        <f t="shared" si="17"/>
        <v>0.23611584327086885</v>
      </c>
    </row>
    <row r="378" spans="9:14" s="23" customFormat="1" ht="13.5" customHeight="1">
      <c r="I378" s="19"/>
      <c r="K378" s="24"/>
      <c r="N378" s="25"/>
    </row>
    <row r="379" spans="1:17" ht="39" customHeight="1">
      <c r="A379" s="2" t="s">
        <v>357</v>
      </c>
      <c r="B379" s="2" t="s">
        <v>358</v>
      </c>
      <c r="C379" s="2" t="s">
        <v>359</v>
      </c>
      <c r="D379" s="7">
        <v>69.89</v>
      </c>
      <c r="E379" s="7">
        <v>138.43</v>
      </c>
      <c r="F379" s="2">
        <v>50</v>
      </c>
      <c r="G379" s="2">
        <v>626</v>
      </c>
      <c r="H379" s="2" t="s">
        <v>228</v>
      </c>
      <c r="I379" s="6">
        <v>12</v>
      </c>
      <c r="J379" s="6" t="s">
        <v>360</v>
      </c>
      <c r="K379" s="7">
        <f t="shared" si="14"/>
        <v>7.512</v>
      </c>
      <c r="L379" s="2"/>
      <c r="N379" s="8"/>
      <c r="O379" s="2"/>
      <c r="Q379" s="2" t="s">
        <v>361</v>
      </c>
    </row>
    <row r="380" spans="2:15" ht="13.5" customHeight="1">
      <c r="B380" s="2" t="s">
        <v>358</v>
      </c>
      <c r="C380" s="2" t="s">
        <v>362</v>
      </c>
      <c r="D380" s="7">
        <v>70.38</v>
      </c>
      <c r="E380" s="7">
        <v>137.35</v>
      </c>
      <c r="F380" s="2">
        <v>50</v>
      </c>
      <c r="G380" s="2">
        <v>438</v>
      </c>
      <c r="I380" s="6">
        <v>11</v>
      </c>
      <c r="J380" s="2"/>
      <c r="K380" s="7">
        <f t="shared" si="14"/>
        <v>4.818</v>
      </c>
      <c r="L380" s="2"/>
      <c r="N380" s="8"/>
      <c r="O380" s="2"/>
    </row>
    <row r="381" spans="2:17" s="54" customFormat="1" ht="13.5" customHeight="1">
      <c r="B381" s="2" t="s">
        <v>358</v>
      </c>
      <c r="C381" s="54" t="s">
        <v>363</v>
      </c>
      <c r="D381" s="55">
        <v>70.48</v>
      </c>
      <c r="E381" s="55">
        <v>136.92</v>
      </c>
      <c r="F381" s="54">
        <v>50</v>
      </c>
      <c r="G381" s="54">
        <v>75</v>
      </c>
      <c r="I381" s="54">
        <v>9.7</v>
      </c>
      <c r="J381" s="26"/>
      <c r="K381" s="7">
        <f t="shared" si="14"/>
        <v>0.7275</v>
      </c>
      <c r="L381" s="55"/>
      <c r="O381" s="56"/>
      <c r="Q381" s="2" t="s">
        <v>364</v>
      </c>
    </row>
    <row r="382" spans="2:11" ht="13.5" customHeight="1">
      <c r="B382" s="2" t="s">
        <v>358</v>
      </c>
      <c r="C382" s="54" t="s">
        <v>365</v>
      </c>
      <c r="D382" s="55">
        <v>72.99</v>
      </c>
      <c r="E382" s="55">
        <v>145.36</v>
      </c>
      <c r="F382" s="54">
        <v>50</v>
      </c>
      <c r="G382" s="54">
        <v>276</v>
      </c>
      <c r="I382" s="2">
        <v>8.5</v>
      </c>
      <c r="K382" s="7">
        <f t="shared" si="14"/>
        <v>2.346</v>
      </c>
    </row>
    <row r="383" spans="10:15" s="23" customFormat="1" ht="13.5" customHeight="1">
      <c r="J383" s="19"/>
      <c r="L383" s="24"/>
      <c r="O383" s="25"/>
    </row>
    <row r="384" spans="1:17" ht="41.25" customHeight="1">
      <c r="A384" s="6" t="s">
        <v>366</v>
      </c>
      <c r="B384" s="67" t="s">
        <v>367</v>
      </c>
      <c r="C384" s="2">
        <v>1</v>
      </c>
      <c r="D384" s="68" t="s">
        <v>368</v>
      </c>
      <c r="E384" s="55">
        <v>84</v>
      </c>
      <c r="F384" s="54">
        <v>80</v>
      </c>
      <c r="G384" s="54">
        <v>1960</v>
      </c>
      <c r="H384" s="2" t="s">
        <v>369</v>
      </c>
      <c r="I384" s="7">
        <f>K384*1000/G384</f>
        <v>7.482993197278911</v>
      </c>
      <c r="J384" s="6" t="s">
        <v>370</v>
      </c>
      <c r="K384" s="7">
        <f>176/12</f>
        <v>14.666666666666666</v>
      </c>
      <c r="L384" s="17" t="s">
        <v>371</v>
      </c>
      <c r="M384" s="7">
        <f>373/12</f>
        <v>31.083333333333332</v>
      </c>
      <c r="O384" s="8">
        <f>K384/M384</f>
        <v>0.4718498659517426</v>
      </c>
      <c r="Q384" s="2" t="s">
        <v>372</v>
      </c>
    </row>
    <row r="385" spans="2:15" ht="36" customHeight="1">
      <c r="B385" s="67" t="s">
        <v>373</v>
      </c>
      <c r="C385" s="2">
        <v>2</v>
      </c>
      <c r="D385" s="68" t="s">
        <v>374</v>
      </c>
      <c r="E385" s="55">
        <v>87.5</v>
      </c>
      <c r="F385" s="2">
        <v>80</v>
      </c>
      <c r="G385" s="54">
        <v>2060</v>
      </c>
      <c r="H385" s="6" t="s">
        <v>375</v>
      </c>
      <c r="I385" s="7">
        <f>K385*1000/G385</f>
        <v>8.495145631067961</v>
      </c>
      <c r="K385" s="2">
        <f>210/12</f>
        <v>17.5</v>
      </c>
      <c r="M385" s="7">
        <f>423/12</f>
        <v>35.25</v>
      </c>
      <c r="O385" s="8">
        <f>K385/M385</f>
        <v>0.49645390070921985</v>
      </c>
    </row>
    <row r="386" spans="2:15" ht="13.5" customHeight="1">
      <c r="B386" s="67" t="s">
        <v>376</v>
      </c>
      <c r="C386" s="2">
        <v>5</v>
      </c>
      <c r="D386" s="68">
        <v>2.78</v>
      </c>
      <c r="E386" s="55">
        <v>86.03</v>
      </c>
      <c r="F386" s="2">
        <v>80</v>
      </c>
      <c r="G386" s="54">
        <v>1600</v>
      </c>
      <c r="I386" s="7">
        <f>K386*1000/G386</f>
        <v>10.833333333333332</v>
      </c>
      <c r="K386" s="7">
        <f>208/12</f>
        <v>17.333333333333332</v>
      </c>
      <c r="M386" s="7">
        <f>335/12</f>
        <v>27.916666666666668</v>
      </c>
      <c r="O386" s="8">
        <f>K386/M386</f>
        <v>0.6208955223880597</v>
      </c>
    </row>
    <row r="387" spans="2:15" ht="12.75">
      <c r="B387" s="67" t="s">
        <v>377</v>
      </c>
      <c r="C387" s="2">
        <v>6</v>
      </c>
      <c r="D387" s="68">
        <v>4.44</v>
      </c>
      <c r="E387" s="55">
        <v>84.99</v>
      </c>
      <c r="F387" s="2">
        <v>80</v>
      </c>
      <c r="G387" s="54">
        <v>2340</v>
      </c>
      <c r="H387" s="6"/>
      <c r="I387" s="7">
        <f>K387*1000/G387</f>
        <v>6.588319088319088</v>
      </c>
      <c r="K387" s="7">
        <f>185/12</f>
        <v>15.416666666666666</v>
      </c>
      <c r="M387" s="7">
        <f>375/12</f>
        <v>31.25</v>
      </c>
      <c r="O387" s="8">
        <f>K387/M387</f>
        <v>0.4933333333333333</v>
      </c>
    </row>
    <row r="388" spans="10:15" s="23" customFormat="1" ht="13.5" customHeight="1">
      <c r="J388" s="19"/>
      <c r="L388" s="24"/>
      <c r="O388" s="25"/>
    </row>
    <row r="389" spans="1:17" ht="50.25" customHeight="1">
      <c r="A389" s="2" t="s">
        <v>378</v>
      </c>
      <c r="B389" s="69">
        <v>35735</v>
      </c>
      <c r="C389" s="2" t="s">
        <v>379</v>
      </c>
      <c r="D389" s="2">
        <v>6.02</v>
      </c>
      <c r="E389" s="55">
        <v>110.02</v>
      </c>
      <c r="F389" s="70">
        <v>50</v>
      </c>
      <c r="G389" s="7">
        <v>459.072</v>
      </c>
      <c r="H389" s="2" t="s">
        <v>228</v>
      </c>
      <c r="I389" s="7">
        <f>5.73/0.61</f>
        <v>9.39344262295082</v>
      </c>
      <c r="J389" s="6" t="s">
        <v>380</v>
      </c>
      <c r="K389" s="7">
        <f>I389*G389/1000</f>
        <v>4.312266491803279</v>
      </c>
      <c r="M389" s="2">
        <v>38</v>
      </c>
      <c r="N389" s="6" t="s">
        <v>381</v>
      </c>
      <c r="O389" s="8">
        <f>K389/M389</f>
        <v>0.11348069715271787</v>
      </c>
      <c r="Q389" s="2" t="s">
        <v>382</v>
      </c>
    </row>
    <row r="390" spans="6:15" ht="13.5" customHeight="1">
      <c r="F390" s="70">
        <v>100</v>
      </c>
      <c r="G390" s="7">
        <v>699.0720000000002</v>
      </c>
      <c r="I390" s="7">
        <f>6.67/0.77</f>
        <v>8.662337662337663</v>
      </c>
      <c r="K390" s="7">
        <f>I390*G390/1000</f>
        <v>6.0555977142857165</v>
      </c>
      <c r="O390" s="8">
        <f>K390/M389</f>
        <v>0.1593578345864662</v>
      </c>
    </row>
    <row r="391" spans="6:15" s="23" customFormat="1" ht="13.5" customHeight="1">
      <c r="F391" s="71"/>
      <c r="J391" s="19"/>
      <c r="L391" s="24"/>
      <c r="O391" s="25"/>
    </row>
    <row r="392" spans="1:17" ht="43.5" customHeight="1">
      <c r="A392" s="2" t="s">
        <v>383</v>
      </c>
      <c r="B392" s="47">
        <v>33901</v>
      </c>
      <c r="C392" s="72" t="s">
        <v>384</v>
      </c>
      <c r="D392" s="68">
        <v>-47.5</v>
      </c>
      <c r="E392" s="68" t="s">
        <v>385</v>
      </c>
      <c r="F392" s="73">
        <v>60</v>
      </c>
      <c r="G392" s="68">
        <f>-5.6*100</f>
        <v>-560</v>
      </c>
      <c r="H392" s="2" t="s">
        <v>232</v>
      </c>
      <c r="I392" s="7">
        <f>K392*1000/G392</f>
        <v>5.208333333333333</v>
      </c>
      <c r="J392" s="6" t="s">
        <v>386</v>
      </c>
      <c r="K392" s="7">
        <f>-35/12</f>
        <v>-2.9166666666666665</v>
      </c>
      <c r="L392" s="17" t="s">
        <v>435</v>
      </c>
      <c r="M392" s="7">
        <f>((1202+244)/2)/12</f>
        <v>60.25</v>
      </c>
      <c r="N392" s="6" t="s">
        <v>436</v>
      </c>
      <c r="O392" s="8">
        <f aca="true" t="shared" si="19" ref="O392:O401">K392/M392</f>
        <v>-0.04840940525587828</v>
      </c>
      <c r="Q392" s="2" t="s">
        <v>387</v>
      </c>
    </row>
    <row r="393" spans="2:15" ht="30.75" customHeight="1">
      <c r="B393" s="47">
        <v>33918</v>
      </c>
      <c r="C393" s="72" t="s">
        <v>388</v>
      </c>
      <c r="D393" s="68">
        <v>-47.5</v>
      </c>
      <c r="E393" s="68">
        <v>6</v>
      </c>
      <c r="F393" s="73">
        <v>60</v>
      </c>
      <c r="G393" s="68">
        <v>4390</v>
      </c>
      <c r="H393" s="2" t="s">
        <v>389</v>
      </c>
      <c r="I393" s="7">
        <f>K393*1000/G393</f>
        <v>5.150044567693375</v>
      </c>
      <c r="J393" s="6" t="s">
        <v>390</v>
      </c>
      <c r="K393" s="7">
        <f>(((690-350)/2)+350)/23</f>
        <v>22.608695652173914</v>
      </c>
      <c r="L393" s="7" t="s">
        <v>391</v>
      </c>
      <c r="M393" s="7">
        <f>((1202+1074)/2)/12</f>
        <v>94.83333333333333</v>
      </c>
      <c r="N393" s="2" t="s">
        <v>392</v>
      </c>
      <c r="O393" s="8">
        <f t="shared" si="19"/>
        <v>0.2384045235730114</v>
      </c>
    </row>
    <row r="394" spans="2:15" ht="13.5" customHeight="1">
      <c r="B394" s="47">
        <v>33918</v>
      </c>
      <c r="C394" s="72" t="s">
        <v>388</v>
      </c>
      <c r="D394" s="68">
        <v>-47.5</v>
      </c>
      <c r="E394" s="68">
        <v>6</v>
      </c>
      <c r="F394" s="73">
        <v>100</v>
      </c>
      <c r="G394" s="68">
        <v>3250</v>
      </c>
      <c r="I394" s="7">
        <f>K394*1000/G394</f>
        <v>8.62876254180602</v>
      </c>
      <c r="K394" s="7">
        <f>(((860-430)/2)+430)/23</f>
        <v>28.043478260869566</v>
      </c>
      <c r="L394" s="7" t="s">
        <v>393</v>
      </c>
      <c r="M394" s="7">
        <f>((1202+1074)/2)/12</f>
        <v>94.83333333333333</v>
      </c>
      <c r="N394" s="2" t="s">
        <v>392</v>
      </c>
      <c r="O394" s="8">
        <f t="shared" si="19"/>
        <v>0.2957133032780622</v>
      </c>
    </row>
    <row r="395" spans="2:15" ht="13.5" customHeight="1">
      <c r="B395" s="47">
        <v>33906</v>
      </c>
      <c r="C395" s="72" t="s">
        <v>384</v>
      </c>
      <c r="D395" s="68">
        <v>-49</v>
      </c>
      <c r="E395" s="68">
        <v>6</v>
      </c>
      <c r="F395" s="74">
        <v>100</v>
      </c>
      <c r="G395" s="68">
        <v>1550</v>
      </c>
      <c r="I395" s="7">
        <f aca="true" t="shared" si="20" ref="I395:I403">K395*1000/G395</f>
        <v>8.870967741935484</v>
      </c>
      <c r="K395" s="7">
        <f>(((220-110)/2)+110)/12</f>
        <v>13.75</v>
      </c>
      <c r="L395" s="75" t="s">
        <v>394</v>
      </c>
      <c r="M395" s="7">
        <f>((1535)/2)/12</f>
        <v>63.958333333333336</v>
      </c>
      <c r="N395" s="2" t="s">
        <v>395</v>
      </c>
      <c r="O395" s="8">
        <f t="shared" si="19"/>
        <v>0.21498371335504884</v>
      </c>
    </row>
    <row r="396" spans="2:15" ht="13.5" customHeight="1">
      <c r="B396" s="47">
        <v>33917</v>
      </c>
      <c r="C396" s="72" t="s">
        <v>388</v>
      </c>
      <c r="D396" s="68">
        <v>-49</v>
      </c>
      <c r="E396" s="68">
        <v>6</v>
      </c>
      <c r="F396" s="68">
        <v>100</v>
      </c>
      <c r="G396" s="68">
        <v>1790</v>
      </c>
      <c r="I396" s="7">
        <f t="shared" si="20"/>
        <v>8.633824276282377</v>
      </c>
      <c r="K396" s="7">
        <f>(((450-230)/2)+230)/22</f>
        <v>15.454545454545455</v>
      </c>
      <c r="L396" s="75" t="s">
        <v>396</v>
      </c>
      <c r="M396" s="7">
        <f>((2892+1535)/2)/12</f>
        <v>184.45833333333334</v>
      </c>
      <c r="N396" s="2" t="s">
        <v>397</v>
      </c>
      <c r="O396" s="8">
        <f t="shared" si="19"/>
        <v>0.08378339528102347</v>
      </c>
    </row>
    <row r="397" spans="2:15" ht="13.5" customHeight="1">
      <c r="B397" s="47">
        <v>33915</v>
      </c>
      <c r="C397" s="72" t="s">
        <v>388</v>
      </c>
      <c r="D397" s="68">
        <v>-51</v>
      </c>
      <c r="E397" s="68">
        <v>6</v>
      </c>
      <c r="F397" s="68">
        <v>100</v>
      </c>
      <c r="G397" s="68">
        <v>1710</v>
      </c>
      <c r="I397" s="7">
        <f t="shared" si="20"/>
        <v>8.911166805903648</v>
      </c>
      <c r="K397" s="7">
        <f>(((430-210)/2)+210)/21</f>
        <v>15.238095238095237</v>
      </c>
      <c r="L397" s="75" t="s">
        <v>398</v>
      </c>
      <c r="M397" s="7">
        <f>((335+388)/2)/12</f>
        <v>30.125</v>
      </c>
      <c r="N397" s="2" t="s">
        <v>399</v>
      </c>
      <c r="O397" s="8">
        <f t="shared" si="19"/>
        <v>0.5058288875716261</v>
      </c>
    </row>
    <row r="398" spans="2:15" ht="13.5" customHeight="1">
      <c r="B398" s="47">
        <v>33898</v>
      </c>
      <c r="C398" s="72" t="s">
        <v>384</v>
      </c>
      <c r="D398" s="68">
        <v>-53</v>
      </c>
      <c r="E398" s="68">
        <v>6</v>
      </c>
      <c r="F398" s="68">
        <v>100</v>
      </c>
      <c r="G398" s="68">
        <v>140</v>
      </c>
      <c r="I398" s="7">
        <f t="shared" si="20"/>
        <v>9.74025974025974</v>
      </c>
      <c r="K398" s="7">
        <f>(((20-10)/2)+10)/11</f>
        <v>1.3636363636363635</v>
      </c>
      <c r="L398" s="75" t="s">
        <v>400</v>
      </c>
      <c r="M398" s="7">
        <f>((127)/2)/12</f>
        <v>5.291666666666667</v>
      </c>
      <c r="N398" s="2" t="s">
        <v>401</v>
      </c>
      <c r="O398" s="8">
        <f t="shared" si="19"/>
        <v>0.2576950608446671</v>
      </c>
    </row>
    <row r="399" spans="2:15" ht="13.5" customHeight="1">
      <c r="B399" s="47">
        <v>33914</v>
      </c>
      <c r="C399" s="72" t="s">
        <v>388</v>
      </c>
      <c r="D399" s="68">
        <v>-53</v>
      </c>
      <c r="E399" s="68">
        <v>6</v>
      </c>
      <c r="F399" s="68">
        <v>100</v>
      </c>
      <c r="G399" s="68">
        <v>1210</v>
      </c>
      <c r="I399" s="7">
        <f t="shared" si="20"/>
        <v>8.85478158205431</v>
      </c>
      <c r="K399" s="7">
        <f>(((300-150)/2)+150)/21</f>
        <v>10.714285714285714</v>
      </c>
      <c r="L399" s="75" t="s">
        <v>402</v>
      </c>
      <c r="M399" s="7">
        <f>((127+258)/2)/12</f>
        <v>16.041666666666668</v>
      </c>
      <c r="N399" s="2" t="s">
        <v>403</v>
      </c>
      <c r="O399" s="8">
        <f t="shared" si="19"/>
        <v>0.6679035250463821</v>
      </c>
    </row>
    <row r="400" spans="2:15" ht="13.5" customHeight="1">
      <c r="B400" s="47">
        <v>33897</v>
      </c>
      <c r="C400" s="72" t="s">
        <v>384</v>
      </c>
      <c r="D400" s="68">
        <v>-55</v>
      </c>
      <c r="E400" s="68">
        <v>6</v>
      </c>
      <c r="F400" s="68">
        <v>100</v>
      </c>
      <c r="G400" s="68">
        <v>-200</v>
      </c>
      <c r="I400" s="7">
        <f t="shared" si="20"/>
        <v>0</v>
      </c>
      <c r="K400" s="7">
        <v>0</v>
      </c>
      <c r="L400" s="75" t="s">
        <v>404</v>
      </c>
      <c r="M400" s="7">
        <f>((78+191)/2)/12</f>
        <v>11.208333333333334</v>
      </c>
      <c r="N400" s="2" t="s">
        <v>405</v>
      </c>
      <c r="O400" s="8">
        <f t="shared" si="19"/>
        <v>0</v>
      </c>
    </row>
    <row r="401" spans="2:15" ht="13.5" customHeight="1">
      <c r="B401" s="47">
        <v>33909</v>
      </c>
      <c r="C401" s="72" t="s">
        <v>388</v>
      </c>
      <c r="D401" s="68">
        <v>-55</v>
      </c>
      <c r="E401" s="68">
        <v>6</v>
      </c>
      <c r="F401" s="68">
        <v>100</v>
      </c>
      <c r="G401" s="68">
        <v>1300</v>
      </c>
      <c r="I401" s="7">
        <f t="shared" si="20"/>
        <v>9.038461538461538</v>
      </c>
      <c r="K401" s="7">
        <f>(((310-160)/2)+160)/20</f>
        <v>11.75</v>
      </c>
      <c r="L401" s="75" t="s">
        <v>406</v>
      </c>
      <c r="M401" s="7">
        <f>((191+347)/2)/12</f>
        <v>22.416666666666668</v>
      </c>
      <c r="N401" s="2" t="s">
        <v>407</v>
      </c>
      <c r="O401" s="8">
        <f t="shared" si="19"/>
        <v>0.5241635687732342</v>
      </c>
    </row>
    <row r="402" spans="2:14" ht="13.5" customHeight="1">
      <c r="B402" s="47">
        <v>33894</v>
      </c>
      <c r="C402" s="72" t="s">
        <v>384</v>
      </c>
      <c r="D402" s="68">
        <v>-56.5</v>
      </c>
      <c r="E402" s="68">
        <v>6</v>
      </c>
      <c r="F402" s="68">
        <v>100</v>
      </c>
      <c r="G402" s="68">
        <v>1650</v>
      </c>
      <c r="I402" s="7">
        <f t="shared" si="20"/>
        <v>9.090909090909092</v>
      </c>
      <c r="K402" s="7">
        <f>(((200-100)/2)+100)/10</f>
        <v>15</v>
      </c>
      <c r="L402" s="75" t="s">
        <v>408</v>
      </c>
      <c r="M402" s="7"/>
      <c r="N402" s="2" t="s">
        <v>409</v>
      </c>
    </row>
    <row r="403" spans="2:14" ht="13.5" customHeight="1">
      <c r="B403" s="47">
        <v>33911</v>
      </c>
      <c r="C403" s="72" t="s">
        <v>388</v>
      </c>
      <c r="D403" s="68">
        <v>-56.5</v>
      </c>
      <c r="E403" s="68">
        <v>6</v>
      </c>
      <c r="F403" s="68">
        <v>100</v>
      </c>
      <c r="G403" s="68">
        <v>160</v>
      </c>
      <c r="I403" s="7">
        <f t="shared" si="20"/>
        <v>8.928571428571429</v>
      </c>
      <c r="K403" s="7">
        <f>(((40-20)/2)+20)/21</f>
        <v>1.4285714285714286</v>
      </c>
      <c r="L403" s="75" t="s">
        <v>410</v>
      </c>
      <c r="M403" s="7"/>
      <c r="N403" s="2" t="s">
        <v>409</v>
      </c>
    </row>
    <row r="404" spans="4:15" s="23" customFormat="1" ht="13.5" customHeight="1">
      <c r="D404" s="76"/>
      <c r="E404" s="76"/>
      <c r="F404" s="76"/>
      <c r="G404" s="76"/>
      <c r="J404" s="19"/>
      <c r="L404" s="24"/>
      <c r="O404" s="25"/>
    </row>
    <row r="405" spans="1:17" ht="13.5" customHeight="1">
      <c r="A405" s="2" t="s">
        <v>315</v>
      </c>
      <c r="B405" s="47">
        <v>33680</v>
      </c>
      <c r="C405" s="72" t="s">
        <v>411</v>
      </c>
      <c r="D405" s="77">
        <v>26.686666666666667</v>
      </c>
      <c r="E405" s="77">
        <v>94.99</v>
      </c>
      <c r="F405" s="68">
        <v>100</v>
      </c>
      <c r="G405" s="70">
        <v>2154.48</v>
      </c>
      <c r="H405" s="2" t="s">
        <v>228</v>
      </c>
      <c r="I405" s="7"/>
      <c r="K405" s="7"/>
      <c r="M405" s="7"/>
      <c r="Q405" s="2" t="s">
        <v>412</v>
      </c>
    </row>
    <row r="406" spans="2:17" ht="29.25" customHeight="1">
      <c r="B406" s="47">
        <v>33682</v>
      </c>
      <c r="C406" s="72" t="s">
        <v>413</v>
      </c>
      <c r="D406" s="77">
        <v>27.451666666666668</v>
      </c>
      <c r="E406" s="77">
        <v>95.00166666666667</v>
      </c>
      <c r="F406" s="68">
        <v>100</v>
      </c>
      <c r="G406" s="74">
        <v>1719.84</v>
      </c>
      <c r="H406" s="6" t="s">
        <v>414</v>
      </c>
      <c r="Q406" s="2" t="s">
        <v>415</v>
      </c>
    </row>
    <row r="407" spans="2:7" ht="13.5" customHeight="1">
      <c r="B407" s="47">
        <v>33777</v>
      </c>
      <c r="C407" s="72" t="s">
        <v>416</v>
      </c>
      <c r="D407" s="77">
        <v>26.6665</v>
      </c>
      <c r="E407" s="77">
        <v>94.99666666666667</v>
      </c>
      <c r="F407" s="68">
        <v>100</v>
      </c>
      <c r="G407" s="74">
        <v>1375.9680000000005</v>
      </c>
    </row>
    <row r="408" spans="2:7" ht="13.5" customHeight="1">
      <c r="B408" s="47">
        <v>33780</v>
      </c>
      <c r="C408" s="72" t="s">
        <v>417</v>
      </c>
      <c r="D408" s="77">
        <v>27.728833333333334</v>
      </c>
      <c r="E408" s="77">
        <v>95.00166666666667</v>
      </c>
      <c r="F408" s="68">
        <v>100</v>
      </c>
      <c r="G408" s="74">
        <v>3574.944000000002</v>
      </c>
    </row>
    <row r="409" spans="4:15" s="23" customFormat="1" ht="13.5" customHeight="1">
      <c r="D409" s="76"/>
      <c r="E409" s="76"/>
      <c r="F409" s="76"/>
      <c r="G409" s="76"/>
      <c r="J409" s="19"/>
      <c r="L409" s="24"/>
      <c r="O409" s="25"/>
    </row>
    <row r="410" spans="1:17" ht="26.25" customHeight="1">
      <c r="A410" s="2" t="s">
        <v>418</v>
      </c>
      <c r="B410" s="60">
        <v>34090</v>
      </c>
      <c r="C410" t="s">
        <v>419</v>
      </c>
      <c r="D410" s="78">
        <v>36.07</v>
      </c>
      <c r="E410" s="78">
        <v>74.72</v>
      </c>
      <c r="F410" s="68">
        <v>100</v>
      </c>
      <c r="G410" s="74">
        <v>2818.8</v>
      </c>
      <c r="H410" s="2" t="s">
        <v>228</v>
      </c>
      <c r="I410" s="7">
        <f>0.02/12*1000</f>
        <v>1.6666666666666667</v>
      </c>
      <c r="J410" s="6" t="s">
        <v>420</v>
      </c>
      <c r="K410" s="7">
        <f aca="true" t="shared" si="21" ref="K410:K420">I410*G410/1000</f>
        <v>4.698000000000001</v>
      </c>
      <c r="Q410" s="2" t="s">
        <v>421</v>
      </c>
    </row>
    <row r="411" spans="2:17" ht="25.5" customHeight="1">
      <c r="B411" s="60">
        <v>34090</v>
      </c>
      <c r="C411" t="s">
        <v>422</v>
      </c>
      <c r="D411" s="78">
        <v>36.05</v>
      </c>
      <c r="E411" s="78">
        <v>74.77</v>
      </c>
      <c r="F411" s="68">
        <v>100</v>
      </c>
      <c r="G411" s="74">
        <v>3491.712</v>
      </c>
      <c r="H411" s="6" t="s">
        <v>414</v>
      </c>
      <c r="I411" s="7">
        <f aca="true" t="shared" si="22" ref="I411:I416">0.02/12*1000</f>
        <v>1.6666666666666667</v>
      </c>
      <c r="K411" s="7">
        <f t="shared" si="21"/>
        <v>5.819520000000001</v>
      </c>
      <c r="Q411" s="2" t="s">
        <v>364</v>
      </c>
    </row>
    <row r="412" spans="2:11" ht="13.5" customHeight="1">
      <c r="B412" s="60">
        <v>34090</v>
      </c>
      <c r="C412" t="s">
        <v>423</v>
      </c>
      <c r="D412" s="7">
        <v>36.07</v>
      </c>
      <c r="E412" s="7">
        <v>74.9</v>
      </c>
      <c r="F412" s="68">
        <v>80</v>
      </c>
      <c r="G412" s="48">
        <v>4104.72</v>
      </c>
      <c r="I412" s="7">
        <f t="shared" si="22"/>
        <v>1.6666666666666667</v>
      </c>
      <c r="K412" s="7">
        <f t="shared" si="21"/>
        <v>6.841200000000001</v>
      </c>
    </row>
    <row r="413" spans="2:11" ht="13.5" customHeight="1">
      <c r="B413" s="60">
        <v>34516</v>
      </c>
      <c r="C413" t="s">
        <v>424</v>
      </c>
      <c r="D413" s="7">
        <v>36.07</v>
      </c>
      <c r="E413" s="7">
        <v>74.72</v>
      </c>
      <c r="F413" s="68">
        <v>100</v>
      </c>
      <c r="G413" s="48">
        <v>2466.24</v>
      </c>
      <c r="I413" s="7">
        <f t="shared" si="22"/>
        <v>1.6666666666666667</v>
      </c>
      <c r="K413" s="7">
        <f t="shared" si="21"/>
        <v>4.110399999999999</v>
      </c>
    </row>
    <row r="414" spans="2:11" ht="13.5" customHeight="1">
      <c r="B414" s="60">
        <v>34516</v>
      </c>
      <c r="C414" t="s">
        <v>425</v>
      </c>
      <c r="D414" s="7">
        <v>36.1</v>
      </c>
      <c r="E414" s="7">
        <v>74.83</v>
      </c>
      <c r="F414" s="68">
        <v>100</v>
      </c>
      <c r="G414" s="48">
        <v>2789.0742857142845</v>
      </c>
      <c r="I414" s="7">
        <f t="shared" si="22"/>
        <v>1.6666666666666667</v>
      </c>
      <c r="K414" s="7">
        <f t="shared" si="21"/>
        <v>4.648457142857141</v>
      </c>
    </row>
    <row r="415" spans="2:11" ht="13.5" customHeight="1">
      <c r="B415" s="60">
        <v>34516</v>
      </c>
      <c r="C415" t="s">
        <v>426</v>
      </c>
      <c r="D415" s="7">
        <v>36.1</v>
      </c>
      <c r="E415" s="7">
        <v>74.25</v>
      </c>
      <c r="F415" s="68">
        <v>100</v>
      </c>
      <c r="G415" s="48">
        <v>3733.68</v>
      </c>
      <c r="I415" s="7">
        <f t="shared" si="22"/>
        <v>1.6666666666666667</v>
      </c>
      <c r="K415" s="7">
        <f t="shared" si="21"/>
        <v>6.2228</v>
      </c>
    </row>
    <row r="416" spans="2:11" ht="13.5" customHeight="1">
      <c r="B416" s="60">
        <v>34516</v>
      </c>
      <c r="C416" t="s">
        <v>427</v>
      </c>
      <c r="D416" s="7">
        <v>36.15</v>
      </c>
      <c r="E416" s="7">
        <v>74.05</v>
      </c>
      <c r="F416" s="68">
        <v>100</v>
      </c>
      <c r="G416" s="48">
        <v>2290.08</v>
      </c>
      <c r="I416" s="7">
        <f t="shared" si="22"/>
        <v>1.6666666666666667</v>
      </c>
      <c r="K416" s="7">
        <f t="shared" si="21"/>
        <v>3.8168</v>
      </c>
    </row>
    <row r="417" spans="10:15" s="23" customFormat="1" ht="13.5" customHeight="1">
      <c r="J417" s="19"/>
      <c r="L417" s="24"/>
      <c r="O417" s="25"/>
    </row>
    <row r="418" spans="1:17" ht="27.75" customHeight="1">
      <c r="A418" s="2" t="s">
        <v>428</v>
      </c>
      <c r="B418" s="60">
        <v>36342</v>
      </c>
      <c r="C418" s="68">
        <v>9</v>
      </c>
      <c r="D418" s="7">
        <v>55.26</v>
      </c>
      <c r="E418" s="7">
        <v>53.98</v>
      </c>
      <c r="F418" s="68">
        <v>100</v>
      </c>
      <c r="G418" s="48">
        <v>1395</v>
      </c>
      <c r="H418" s="2" t="s">
        <v>228</v>
      </c>
      <c r="I418" s="2">
        <v>4.1</v>
      </c>
      <c r="J418" s="6" t="s">
        <v>429</v>
      </c>
      <c r="K418" s="7">
        <f t="shared" si="21"/>
        <v>5.719499999999999</v>
      </c>
      <c r="L418" s="17">
        <f>4.4*G418/1000</f>
        <v>6.138000000000001</v>
      </c>
      <c r="M418" s="2">
        <v>66.9</v>
      </c>
      <c r="O418" s="8">
        <f>K418/M418</f>
        <v>0.08549327354260088</v>
      </c>
      <c r="Q418" s="2" t="s">
        <v>430</v>
      </c>
    </row>
    <row r="419" spans="3:15" ht="29.25" customHeight="1">
      <c r="C419" s="68">
        <v>18</v>
      </c>
      <c r="D419" s="7">
        <v>58.22</v>
      </c>
      <c r="E419" s="7">
        <v>50.88</v>
      </c>
      <c r="F419" s="68">
        <v>100</v>
      </c>
      <c r="G419" s="48">
        <v>975</v>
      </c>
      <c r="H419" s="6" t="s">
        <v>414</v>
      </c>
      <c r="I419" s="2">
        <v>22</v>
      </c>
      <c r="J419" s="6" t="s">
        <v>431</v>
      </c>
      <c r="K419" s="7">
        <f t="shared" si="21"/>
        <v>21.45</v>
      </c>
      <c r="L419" s="17">
        <f>4.8*G419/1000</f>
        <v>4.68</v>
      </c>
      <c r="M419" s="2">
        <v>84.3</v>
      </c>
      <c r="O419" s="8">
        <f>K419/M419</f>
        <v>0.25444839857651247</v>
      </c>
    </row>
    <row r="420" spans="3:15" ht="29.25" customHeight="1">
      <c r="C420" s="68">
        <v>25</v>
      </c>
      <c r="D420" s="7">
        <v>60.29</v>
      </c>
      <c r="E420" s="7">
        <v>48.54</v>
      </c>
      <c r="F420" s="68">
        <v>100</v>
      </c>
      <c r="G420" s="48">
        <v>1110</v>
      </c>
      <c r="I420" s="2">
        <v>14</v>
      </c>
      <c r="J420" s="6" t="s">
        <v>432</v>
      </c>
      <c r="K420" s="7">
        <f t="shared" si="21"/>
        <v>15.54</v>
      </c>
      <c r="L420" s="17">
        <f>6*G420/1000</f>
        <v>6.66</v>
      </c>
      <c r="M420" s="2">
        <v>42.4</v>
      </c>
      <c r="O420" s="8">
        <f>K420/M420</f>
        <v>0.36650943396226415</v>
      </c>
    </row>
    <row r="421" spans="10:15" s="23" customFormat="1" ht="13.5" customHeight="1">
      <c r="J421" s="19"/>
      <c r="L421" s="24"/>
      <c r="O421" s="25"/>
    </row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</sheetData>
  <printOptions/>
  <pageMargins left="0.75" right="0.75" top="1" bottom="1" header="0.5" footer="0.5"/>
  <pageSetup fitToHeight="1" fitToWidth="1" horizontalDpi="300" verticalDpi="300" orientation="landscape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visitor</dc:creator>
  <cp:keywords/>
  <dc:description/>
  <cp:lastModifiedBy>visitor</cp:lastModifiedBy>
  <dcterms:created xsi:type="dcterms:W3CDTF">2004-01-30T15:14:18Z</dcterms:created>
  <dcterms:modified xsi:type="dcterms:W3CDTF">2004-01-30T15:14:45Z</dcterms:modified>
  <cp:category/>
  <cp:version/>
  <cp:contentType/>
  <cp:contentStatus/>
</cp:coreProperties>
</file>